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das\Documents\sprendimai\"/>
    </mc:Choice>
  </mc:AlternateContent>
  <xr:revisionPtr revIDLastSave="0" documentId="13_ncr:1_{071E2DDC-B085-47EA-A6FF-E5A283975D0A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pajamos-1" sheetId="1" r:id="rId1"/>
    <sheet name="sp.p.-2" sheetId="2" r:id="rId2"/>
    <sheet name="ml-3" sheetId="9" r:id="rId3"/>
    <sheet name="vald-4" sheetId="25" r:id="rId4"/>
    <sheet name="asign-5" sheetId="17" r:id="rId5"/>
    <sheet name="prog-6" sheetId="18" r:id="rId6"/>
  </sheets>
  <definedNames>
    <definedName name="_xlnm._FilterDatabase" localSheetId="4" hidden="1">'asign-5'!$A$4:$P$307</definedName>
    <definedName name="_xlnm._FilterDatabase" localSheetId="5" hidden="1">'prog-6'!$A$7:$P$413</definedName>
    <definedName name="_xlnm.Print_Titles" localSheetId="4">'asign-5'!$6:$10</definedName>
    <definedName name="_xlnm.Print_Titles" localSheetId="0">'pajamos-1'!$8:$9</definedName>
    <definedName name="_xlnm.Print_Titles" localSheetId="5">'prog-6'!$8:$12</definedName>
    <definedName name="_xlnm.Print_Titles" localSheetId="1">'sp.p.-2'!$8:$9</definedName>
  </definedNames>
  <calcPr calcId="191029"/>
</workbook>
</file>

<file path=xl/calcChain.xml><?xml version="1.0" encoding="utf-8"?>
<calcChain xmlns="http://schemas.openxmlformats.org/spreadsheetml/2006/main">
  <c r="C273" i="18" l="1"/>
  <c r="C361" i="18"/>
  <c r="C318" i="18"/>
  <c r="C200" i="18"/>
  <c r="C201" i="18"/>
  <c r="C164" i="18"/>
  <c r="F332" i="18"/>
  <c r="F328" i="18"/>
  <c r="F324" i="18"/>
  <c r="F313" i="18"/>
  <c r="F317" i="18"/>
  <c r="F305" i="18"/>
  <c r="F301" i="18"/>
  <c r="F297" i="18"/>
  <c r="F293" i="18"/>
  <c r="F285" i="18"/>
  <c r="E332" i="18" l="1"/>
  <c r="E328" i="18"/>
  <c r="E324" i="18"/>
  <c r="E313" i="18"/>
  <c r="E317" i="18"/>
  <c r="E305" i="18"/>
  <c r="E301" i="18"/>
  <c r="E297" i="18"/>
  <c r="E293" i="18"/>
  <c r="E285" i="18"/>
  <c r="E27" i="9" l="1"/>
  <c r="O16" i="18" l="1"/>
  <c r="O17" i="18"/>
  <c r="C408" i="18"/>
  <c r="C168" i="18"/>
  <c r="C302" i="18"/>
  <c r="C294" i="18"/>
  <c r="C286" i="18"/>
  <c r="D302" i="18" l="1"/>
  <c r="D298" i="18"/>
  <c r="C298" i="18"/>
  <c r="D294" i="18"/>
  <c r="O58" i="18"/>
  <c r="C234" i="18" l="1"/>
  <c r="O210" i="18"/>
  <c r="P210" i="18"/>
  <c r="E199" i="18"/>
  <c r="P107" i="18" l="1"/>
  <c r="O107" i="18"/>
  <c r="P38" i="18"/>
  <c r="O38" i="18"/>
  <c r="P362" i="18"/>
  <c r="O362" i="18"/>
  <c r="P366" i="18"/>
  <c r="O366" i="18"/>
  <c r="O29" i="18"/>
  <c r="M48" i="18" l="1"/>
  <c r="C48" i="18"/>
  <c r="P81" i="18" l="1"/>
  <c r="O81" i="18"/>
  <c r="C182" i="18"/>
  <c r="C179" i="18"/>
  <c r="C176" i="18"/>
  <c r="C174" i="18"/>
  <c r="C172" i="18"/>
  <c r="C170" i="18"/>
  <c r="C166" i="18"/>
  <c r="O159" i="18"/>
  <c r="O155" i="18"/>
  <c r="C66" i="18"/>
  <c r="C65" i="18"/>
  <c r="C55" i="18"/>
  <c r="P46" i="18"/>
  <c r="O46" i="18"/>
  <c r="C30" i="18"/>
  <c r="O26" i="18"/>
  <c r="P24" i="18"/>
  <c r="O24" i="18"/>
  <c r="M197" i="18" l="1"/>
  <c r="E10" i="2" l="1"/>
  <c r="E211" i="18"/>
  <c r="E212" i="18"/>
  <c r="P238" i="18" l="1"/>
  <c r="O238" i="18"/>
  <c r="P334" i="18" l="1"/>
  <c r="O334" i="18"/>
  <c r="E268" i="18"/>
  <c r="P106" i="18" l="1"/>
  <c r="O106" i="18"/>
  <c r="K27" i="9" l="1"/>
  <c r="J27" i="9"/>
  <c r="I27" i="9"/>
  <c r="H27" i="9"/>
  <c r="G27" i="9"/>
  <c r="F27" i="9"/>
  <c r="D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27" i="9" l="1"/>
  <c r="D86" i="1"/>
  <c r="F39" i="2"/>
  <c r="P161" i="18" l="1"/>
  <c r="O161" i="18"/>
  <c r="O156" i="18" l="1"/>
  <c r="P156" i="18"/>
  <c r="O157" i="18"/>
  <c r="P157" i="18"/>
  <c r="O158" i="18"/>
  <c r="P158" i="18"/>
  <c r="O160" i="18"/>
  <c r="P160" i="18"/>
  <c r="O162" i="18"/>
  <c r="P162" i="18"/>
  <c r="P342" i="18"/>
  <c r="P252" i="18"/>
  <c r="E336" i="18" l="1"/>
  <c r="P257" i="18"/>
  <c r="O374" i="18"/>
  <c r="O235" i="18"/>
  <c r="P235" i="18"/>
  <c r="O225" i="18"/>
  <c r="P225" i="18"/>
  <c r="O221" i="18"/>
  <c r="P221" i="18"/>
  <c r="P345" i="18" l="1"/>
  <c r="P346" i="18"/>
  <c r="P347" i="18"/>
  <c r="P348" i="18"/>
  <c r="P349" i="18"/>
  <c r="P350" i="18"/>
  <c r="P351" i="18"/>
  <c r="P352" i="18"/>
  <c r="P353" i="18"/>
  <c r="P354" i="18"/>
  <c r="P355" i="18"/>
  <c r="P356" i="18"/>
  <c r="P357" i="18"/>
  <c r="P358" i="18"/>
  <c r="P359" i="18"/>
  <c r="P360" i="18"/>
  <c r="P361" i="18"/>
  <c r="P363" i="18"/>
  <c r="P364" i="18"/>
  <c r="P365" i="18"/>
  <c r="P367" i="18"/>
  <c r="P368" i="18"/>
  <c r="P369" i="18"/>
  <c r="P370" i="18"/>
  <c r="P371" i="18"/>
  <c r="P372" i="18"/>
  <c r="P373" i="18"/>
  <c r="P374" i="18"/>
  <c r="P375" i="18"/>
  <c r="P377" i="18"/>
  <c r="P379" i="18"/>
  <c r="P380" i="18"/>
  <c r="P382" i="18"/>
  <c r="P383" i="18"/>
  <c r="P385" i="18"/>
  <c r="P386" i="18"/>
  <c r="P388" i="18"/>
  <c r="P389" i="18"/>
  <c r="P391" i="18"/>
  <c r="P392" i="18"/>
  <c r="P394" i="18"/>
  <c r="P395" i="18"/>
  <c r="P397" i="18"/>
  <c r="P398" i="18"/>
  <c r="P400" i="18"/>
  <c r="P401" i="18"/>
  <c r="P403" i="18"/>
  <c r="P404" i="18"/>
  <c r="P406" i="18"/>
  <c r="P407" i="18"/>
  <c r="P408" i="18"/>
  <c r="P409" i="18"/>
  <c r="P344" i="18"/>
  <c r="O252" i="18" l="1"/>
  <c r="O257" i="18"/>
  <c r="O124" i="18" l="1"/>
  <c r="O123" i="18"/>
  <c r="D140" i="17" l="1"/>
  <c r="F140" i="17"/>
  <c r="H140" i="17"/>
  <c r="J140" i="17"/>
  <c r="L140" i="17"/>
  <c r="N140" i="17"/>
  <c r="P140" i="17"/>
  <c r="D138" i="17"/>
  <c r="D137" i="17" s="1"/>
  <c r="E138" i="17"/>
  <c r="E137" i="17" s="1"/>
  <c r="F138" i="17"/>
  <c r="F137" i="17" s="1"/>
  <c r="G138" i="17"/>
  <c r="G137" i="17" s="1"/>
  <c r="H138" i="17"/>
  <c r="H137" i="17" s="1"/>
  <c r="I138" i="17"/>
  <c r="I137" i="17" s="1"/>
  <c r="J138" i="17"/>
  <c r="J137" i="17" s="1"/>
  <c r="K138" i="17"/>
  <c r="K137" i="17" s="1"/>
  <c r="L138" i="17"/>
  <c r="L137" i="17" s="1"/>
  <c r="M138" i="17"/>
  <c r="M137" i="17" s="1"/>
  <c r="N138" i="17"/>
  <c r="N137" i="17" s="1"/>
  <c r="P138" i="17"/>
  <c r="P137" i="17" s="1"/>
  <c r="C138" i="17"/>
  <c r="C137" i="17" s="1"/>
  <c r="D136" i="17"/>
  <c r="D135" i="17" s="1"/>
  <c r="E136" i="17"/>
  <c r="E135" i="17" s="1"/>
  <c r="F136" i="17"/>
  <c r="F135" i="17" s="1"/>
  <c r="G136" i="17"/>
  <c r="G135" i="17" s="1"/>
  <c r="H136" i="17"/>
  <c r="H135" i="17" s="1"/>
  <c r="I136" i="17"/>
  <c r="I135" i="17" s="1"/>
  <c r="J136" i="17"/>
  <c r="J135" i="17" s="1"/>
  <c r="K136" i="17"/>
  <c r="K135" i="17" s="1"/>
  <c r="L136" i="17"/>
  <c r="L135" i="17" s="1"/>
  <c r="M136" i="17"/>
  <c r="M135" i="17" s="1"/>
  <c r="N136" i="17"/>
  <c r="N135" i="17" s="1"/>
  <c r="P136" i="17"/>
  <c r="P135" i="17" s="1"/>
  <c r="C136" i="17"/>
  <c r="C135" i="17" s="1"/>
  <c r="D99" i="17"/>
  <c r="E99" i="17"/>
  <c r="F99" i="17"/>
  <c r="G99" i="17"/>
  <c r="H99" i="17"/>
  <c r="I99" i="17"/>
  <c r="J99" i="17"/>
  <c r="K99" i="17"/>
  <c r="L99" i="17"/>
  <c r="M99" i="17"/>
  <c r="N99" i="17"/>
  <c r="C99" i="17"/>
  <c r="D93" i="17"/>
  <c r="E93" i="17"/>
  <c r="F93" i="17"/>
  <c r="G93" i="17"/>
  <c r="H93" i="17"/>
  <c r="I93" i="17"/>
  <c r="J93" i="17"/>
  <c r="K93" i="17"/>
  <c r="L93" i="17"/>
  <c r="M93" i="17"/>
  <c r="N93" i="17"/>
  <c r="C93" i="17"/>
  <c r="D90" i="17"/>
  <c r="E90" i="17"/>
  <c r="F90" i="17"/>
  <c r="G90" i="17"/>
  <c r="H90" i="17"/>
  <c r="I90" i="17"/>
  <c r="J90" i="17"/>
  <c r="K90" i="17"/>
  <c r="L90" i="17"/>
  <c r="M90" i="17"/>
  <c r="N90" i="17"/>
  <c r="C90" i="17"/>
  <c r="D87" i="17"/>
  <c r="E87" i="17"/>
  <c r="F87" i="17"/>
  <c r="G87" i="17"/>
  <c r="H87" i="17"/>
  <c r="I87" i="17"/>
  <c r="J87" i="17"/>
  <c r="K87" i="17"/>
  <c r="L87" i="17"/>
  <c r="M87" i="17"/>
  <c r="N87" i="17"/>
  <c r="C87" i="17"/>
  <c r="D82" i="17"/>
  <c r="E82" i="17"/>
  <c r="F82" i="17"/>
  <c r="G82" i="17"/>
  <c r="H82" i="17"/>
  <c r="I82" i="17"/>
  <c r="J82" i="17"/>
  <c r="K82" i="17"/>
  <c r="L82" i="17"/>
  <c r="M82" i="17"/>
  <c r="N82" i="17"/>
  <c r="C82" i="17"/>
  <c r="D79" i="17"/>
  <c r="E79" i="17"/>
  <c r="F79" i="17"/>
  <c r="G79" i="17"/>
  <c r="H79" i="17"/>
  <c r="I79" i="17"/>
  <c r="J79" i="17"/>
  <c r="K79" i="17"/>
  <c r="L79" i="17"/>
  <c r="M79" i="17"/>
  <c r="N79" i="17"/>
  <c r="C79" i="17"/>
  <c r="D76" i="17"/>
  <c r="E76" i="17"/>
  <c r="F76" i="17"/>
  <c r="G76" i="17"/>
  <c r="H76" i="17"/>
  <c r="I76" i="17"/>
  <c r="J76" i="17"/>
  <c r="K76" i="17"/>
  <c r="L76" i="17"/>
  <c r="M76" i="17"/>
  <c r="N76" i="17"/>
  <c r="C76" i="17"/>
  <c r="D73" i="17"/>
  <c r="E73" i="17"/>
  <c r="F73" i="17"/>
  <c r="G73" i="17"/>
  <c r="H73" i="17"/>
  <c r="I73" i="17"/>
  <c r="J73" i="17"/>
  <c r="K73" i="17"/>
  <c r="L73" i="17"/>
  <c r="M73" i="17"/>
  <c r="N73" i="17"/>
  <c r="C73" i="17"/>
  <c r="D70" i="17"/>
  <c r="E70" i="17"/>
  <c r="F70" i="17"/>
  <c r="G70" i="17"/>
  <c r="H70" i="17"/>
  <c r="I70" i="17"/>
  <c r="J70" i="17"/>
  <c r="K70" i="17"/>
  <c r="L70" i="17"/>
  <c r="M70" i="17"/>
  <c r="N70" i="17"/>
  <c r="C70" i="17"/>
  <c r="D67" i="17"/>
  <c r="E67" i="17"/>
  <c r="F67" i="17"/>
  <c r="G67" i="17"/>
  <c r="H67" i="17"/>
  <c r="I67" i="17"/>
  <c r="J67" i="17"/>
  <c r="K67" i="17"/>
  <c r="L67" i="17"/>
  <c r="M67" i="17"/>
  <c r="N67" i="17"/>
  <c r="C67" i="17"/>
  <c r="D64" i="17"/>
  <c r="E64" i="17"/>
  <c r="F64" i="17"/>
  <c r="G64" i="17"/>
  <c r="H64" i="17"/>
  <c r="I64" i="17"/>
  <c r="J64" i="17"/>
  <c r="K64" i="17"/>
  <c r="L64" i="17"/>
  <c r="M64" i="17"/>
  <c r="N64" i="17"/>
  <c r="D60" i="17"/>
  <c r="E60" i="17"/>
  <c r="F60" i="17"/>
  <c r="G60" i="17"/>
  <c r="H60" i="17"/>
  <c r="I60" i="17"/>
  <c r="J60" i="17"/>
  <c r="K60" i="17"/>
  <c r="L60" i="17"/>
  <c r="M60" i="17"/>
  <c r="N60" i="17"/>
  <c r="D56" i="17"/>
  <c r="E56" i="17"/>
  <c r="F56" i="17"/>
  <c r="G56" i="17"/>
  <c r="H56" i="17"/>
  <c r="I56" i="17"/>
  <c r="J56" i="17"/>
  <c r="K56" i="17"/>
  <c r="L56" i="17"/>
  <c r="M56" i="17"/>
  <c r="N56" i="17"/>
  <c r="D52" i="17"/>
  <c r="E52" i="17"/>
  <c r="F52" i="17"/>
  <c r="G52" i="17"/>
  <c r="H52" i="17"/>
  <c r="I52" i="17"/>
  <c r="J52" i="17"/>
  <c r="K52" i="17"/>
  <c r="L52" i="17"/>
  <c r="M52" i="17"/>
  <c r="N52" i="17"/>
  <c r="D48" i="17"/>
  <c r="E48" i="17"/>
  <c r="F48" i="17"/>
  <c r="G48" i="17"/>
  <c r="H48" i="17"/>
  <c r="I48" i="17"/>
  <c r="J48" i="17"/>
  <c r="K48" i="17"/>
  <c r="L48" i="17"/>
  <c r="M48" i="17"/>
  <c r="N48" i="17"/>
  <c r="D44" i="17"/>
  <c r="E44" i="17"/>
  <c r="F44" i="17"/>
  <c r="G44" i="17"/>
  <c r="H44" i="17"/>
  <c r="I44" i="17"/>
  <c r="J44" i="17"/>
  <c r="K44" i="17"/>
  <c r="L44" i="17"/>
  <c r="M44" i="17"/>
  <c r="N44" i="17"/>
  <c r="D40" i="17"/>
  <c r="E40" i="17"/>
  <c r="F40" i="17"/>
  <c r="G40" i="17"/>
  <c r="H40" i="17"/>
  <c r="I40" i="17"/>
  <c r="J40" i="17"/>
  <c r="K40" i="17"/>
  <c r="L40" i="17"/>
  <c r="M40" i="17"/>
  <c r="N40" i="17"/>
  <c r="D36" i="17"/>
  <c r="E36" i="17"/>
  <c r="F36" i="17"/>
  <c r="G36" i="17"/>
  <c r="H36" i="17"/>
  <c r="I36" i="17"/>
  <c r="J36" i="17"/>
  <c r="K36" i="17"/>
  <c r="L36" i="17"/>
  <c r="M36" i="17"/>
  <c r="N36" i="17"/>
  <c r="D32" i="17"/>
  <c r="E32" i="17"/>
  <c r="F32" i="17"/>
  <c r="G32" i="17"/>
  <c r="H32" i="17"/>
  <c r="I32" i="17"/>
  <c r="J32" i="17"/>
  <c r="K32" i="17"/>
  <c r="L32" i="17"/>
  <c r="M32" i="17"/>
  <c r="N32" i="17"/>
  <c r="D28" i="17"/>
  <c r="E28" i="17"/>
  <c r="F28" i="17"/>
  <c r="G28" i="17"/>
  <c r="H28" i="17"/>
  <c r="I28" i="17"/>
  <c r="J28" i="17"/>
  <c r="K28" i="17"/>
  <c r="L28" i="17"/>
  <c r="M28" i="17"/>
  <c r="N28" i="17"/>
  <c r="D24" i="17"/>
  <c r="E24" i="17"/>
  <c r="F24" i="17"/>
  <c r="G24" i="17"/>
  <c r="H24" i="17"/>
  <c r="I24" i="17"/>
  <c r="J24" i="17"/>
  <c r="K24" i="17"/>
  <c r="L24" i="17"/>
  <c r="M24" i="17"/>
  <c r="N24" i="17"/>
  <c r="C64" i="17"/>
  <c r="C60" i="17"/>
  <c r="C56" i="17"/>
  <c r="C52" i="17"/>
  <c r="C48" i="17"/>
  <c r="C44" i="17"/>
  <c r="C40" i="17"/>
  <c r="C36" i="17"/>
  <c r="C32" i="17"/>
  <c r="C28" i="17"/>
  <c r="C24" i="17"/>
  <c r="D13" i="17"/>
  <c r="D12" i="17" s="1"/>
  <c r="E13" i="17"/>
  <c r="E12" i="17" s="1"/>
  <c r="F13" i="17"/>
  <c r="F12" i="17" s="1"/>
  <c r="G13" i="17"/>
  <c r="G12" i="17" s="1"/>
  <c r="H13" i="17"/>
  <c r="H12" i="17" s="1"/>
  <c r="I13" i="17"/>
  <c r="I12" i="17" s="1"/>
  <c r="J13" i="17"/>
  <c r="J12" i="17" s="1"/>
  <c r="K13" i="17"/>
  <c r="K12" i="17" s="1"/>
  <c r="L13" i="17"/>
  <c r="L12" i="17" s="1"/>
  <c r="M13" i="17"/>
  <c r="M12" i="17" s="1"/>
  <c r="N13" i="17"/>
  <c r="N12" i="17" s="1"/>
  <c r="C13" i="17"/>
  <c r="C12" i="17" s="1"/>
  <c r="O229" i="18" l="1"/>
  <c r="P229" i="18"/>
  <c r="O230" i="18"/>
  <c r="P230" i="18"/>
  <c r="O231" i="18"/>
  <c r="P231" i="18"/>
  <c r="O232" i="18"/>
  <c r="P232" i="18"/>
  <c r="O233" i="18"/>
  <c r="P233" i="18"/>
  <c r="O236" i="18"/>
  <c r="P236" i="18"/>
  <c r="O211" i="18"/>
  <c r="P211" i="18"/>
  <c r="O214" i="18" l="1"/>
  <c r="P214" i="18"/>
  <c r="P180" i="18"/>
  <c r="O180" i="18"/>
  <c r="N223" i="18" l="1"/>
  <c r="N129" i="17" s="1"/>
  <c r="N128" i="17" s="1"/>
  <c r="M223" i="18"/>
  <c r="M129" i="17" s="1"/>
  <c r="M128" i="17" s="1"/>
  <c r="L223" i="18"/>
  <c r="L129" i="17" s="1"/>
  <c r="L128" i="17" s="1"/>
  <c r="K223" i="18"/>
  <c r="K129" i="17" s="1"/>
  <c r="K128" i="17" s="1"/>
  <c r="J223" i="18"/>
  <c r="J129" i="17" s="1"/>
  <c r="J128" i="17" s="1"/>
  <c r="I223" i="18"/>
  <c r="I129" i="17" s="1"/>
  <c r="I128" i="17" s="1"/>
  <c r="H223" i="18"/>
  <c r="H129" i="17" s="1"/>
  <c r="H128" i="17" s="1"/>
  <c r="G223" i="18"/>
  <c r="G129" i="17" s="1"/>
  <c r="G128" i="17" s="1"/>
  <c r="F223" i="18"/>
  <c r="F129" i="17" s="1"/>
  <c r="F128" i="17" s="1"/>
  <c r="E223" i="18"/>
  <c r="E129" i="17" s="1"/>
  <c r="E128" i="17" s="1"/>
  <c r="N181" i="18"/>
  <c r="N124" i="17" s="1"/>
  <c r="N123" i="17" s="1"/>
  <c r="M181" i="18"/>
  <c r="M124" i="17" s="1"/>
  <c r="M123" i="17" s="1"/>
  <c r="L181" i="18"/>
  <c r="L124" i="17" s="1"/>
  <c r="L123" i="17" s="1"/>
  <c r="K181" i="18"/>
  <c r="K124" i="17" s="1"/>
  <c r="K123" i="17" s="1"/>
  <c r="J181" i="18"/>
  <c r="J124" i="17" s="1"/>
  <c r="J123" i="17" s="1"/>
  <c r="I181" i="18"/>
  <c r="I124" i="17" s="1"/>
  <c r="I123" i="17" s="1"/>
  <c r="H181" i="18"/>
  <c r="H124" i="17" s="1"/>
  <c r="H123" i="17" s="1"/>
  <c r="G181" i="18"/>
  <c r="G124" i="17" s="1"/>
  <c r="G123" i="17" s="1"/>
  <c r="F181" i="18"/>
  <c r="F124" i="17" s="1"/>
  <c r="F123" i="17" s="1"/>
  <c r="E181" i="18"/>
  <c r="E124" i="17" s="1"/>
  <c r="E123" i="17" s="1"/>
  <c r="D181" i="18"/>
  <c r="D124" i="17" s="1"/>
  <c r="D123" i="17" s="1"/>
  <c r="C181" i="18"/>
  <c r="C124" i="17" s="1"/>
  <c r="C123" i="17" s="1"/>
  <c r="N178" i="18"/>
  <c r="N122" i="17" s="1"/>
  <c r="N121" i="17" s="1"/>
  <c r="M178" i="18"/>
  <c r="M122" i="17" s="1"/>
  <c r="M121" i="17" s="1"/>
  <c r="L178" i="18"/>
  <c r="L122" i="17" s="1"/>
  <c r="L121" i="17" s="1"/>
  <c r="K178" i="18"/>
  <c r="K122" i="17" s="1"/>
  <c r="K121" i="17" s="1"/>
  <c r="J178" i="18"/>
  <c r="J122" i="17" s="1"/>
  <c r="J121" i="17" s="1"/>
  <c r="I178" i="18"/>
  <c r="I122" i="17" s="1"/>
  <c r="I121" i="17" s="1"/>
  <c r="H178" i="18"/>
  <c r="H122" i="17" s="1"/>
  <c r="H121" i="17" s="1"/>
  <c r="G178" i="18"/>
  <c r="G122" i="17" s="1"/>
  <c r="G121" i="17" s="1"/>
  <c r="F178" i="18"/>
  <c r="F122" i="17" s="1"/>
  <c r="F121" i="17" s="1"/>
  <c r="E178" i="18"/>
  <c r="E122" i="17" s="1"/>
  <c r="E121" i="17" s="1"/>
  <c r="D178" i="18"/>
  <c r="D122" i="17" s="1"/>
  <c r="D121" i="17" s="1"/>
  <c r="C178" i="18"/>
  <c r="C122" i="17" s="1"/>
  <c r="C121" i="17" s="1"/>
  <c r="N175" i="18"/>
  <c r="N120" i="17" s="1"/>
  <c r="N119" i="17" s="1"/>
  <c r="M175" i="18"/>
  <c r="M120" i="17" s="1"/>
  <c r="M119" i="17" s="1"/>
  <c r="L175" i="18"/>
  <c r="L120" i="17" s="1"/>
  <c r="L119" i="17" s="1"/>
  <c r="K175" i="18"/>
  <c r="K120" i="17" s="1"/>
  <c r="K119" i="17" s="1"/>
  <c r="J175" i="18"/>
  <c r="J120" i="17" s="1"/>
  <c r="J119" i="17" s="1"/>
  <c r="I175" i="18"/>
  <c r="I120" i="17" s="1"/>
  <c r="I119" i="17" s="1"/>
  <c r="H175" i="18"/>
  <c r="H120" i="17" s="1"/>
  <c r="H119" i="17" s="1"/>
  <c r="G175" i="18"/>
  <c r="G120" i="17" s="1"/>
  <c r="G119" i="17" s="1"/>
  <c r="F175" i="18"/>
  <c r="F120" i="17" s="1"/>
  <c r="F119" i="17" s="1"/>
  <c r="E175" i="18"/>
  <c r="E120" i="17" s="1"/>
  <c r="E119" i="17" s="1"/>
  <c r="D175" i="18"/>
  <c r="D120" i="17" s="1"/>
  <c r="D119" i="17" s="1"/>
  <c r="C175" i="18"/>
  <c r="C120" i="17" s="1"/>
  <c r="C119" i="17" s="1"/>
  <c r="N173" i="18"/>
  <c r="N118" i="17" s="1"/>
  <c r="N117" i="17" s="1"/>
  <c r="M173" i="18"/>
  <c r="M118" i="17" s="1"/>
  <c r="M117" i="17" s="1"/>
  <c r="L173" i="18"/>
  <c r="L118" i="17" s="1"/>
  <c r="L117" i="17" s="1"/>
  <c r="K173" i="18"/>
  <c r="K118" i="17" s="1"/>
  <c r="K117" i="17" s="1"/>
  <c r="J173" i="18"/>
  <c r="J118" i="17" s="1"/>
  <c r="J117" i="17" s="1"/>
  <c r="I173" i="18"/>
  <c r="I118" i="17" s="1"/>
  <c r="I117" i="17" s="1"/>
  <c r="H173" i="18"/>
  <c r="H118" i="17" s="1"/>
  <c r="H117" i="17" s="1"/>
  <c r="G173" i="18"/>
  <c r="G118" i="17" s="1"/>
  <c r="G117" i="17" s="1"/>
  <c r="F173" i="18"/>
  <c r="F118" i="17" s="1"/>
  <c r="F117" i="17" s="1"/>
  <c r="E173" i="18"/>
  <c r="E118" i="17" s="1"/>
  <c r="E117" i="17" s="1"/>
  <c r="D173" i="18"/>
  <c r="D118" i="17" s="1"/>
  <c r="D117" i="17" s="1"/>
  <c r="C173" i="18"/>
  <c r="C118" i="17" s="1"/>
  <c r="C117" i="17" s="1"/>
  <c r="N171" i="18"/>
  <c r="N114" i="17" s="1"/>
  <c r="N113" i="17" s="1"/>
  <c r="M171" i="18"/>
  <c r="M114" i="17" s="1"/>
  <c r="M113" i="17" s="1"/>
  <c r="L171" i="18"/>
  <c r="L114" i="17" s="1"/>
  <c r="L113" i="17" s="1"/>
  <c r="K171" i="18"/>
  <c r="K114" i="17" s="1"/>
  <c r="K113" i="17" s="1"/>
  <c r="J171" i="18"/>
  <c r="J114" i="17" s="1"/>
  <c r="J113" i="17" s="1"/>
  <c r="I171" i="18"/>
  <c r="I114" i="17" s="1"/>
  <c r="I113" i="17" s="1"/>
  <c r="H171" i="18"/>
  <c r="H114" i="17" s="1"/>
  <c r="H113" i="17" s="1"/>
  <c r="G171" i="18"/>
  <c r="G114" i="17" s="1"/>
  <c r="G113" i="17" s="1"/>
  <c r="F171" i="18"/>
  <c r="F114" i="17" s="1"/>
  <c r="F113" i="17" s="1"/>
  <c r="E171" i="18"/>
  <c r="E114" i="17" s="1"/>
  <c r="E113" i="17" s="1"/>
  <c r="D171" i="18"/>
  <c r="D114" i="17" s="1"/>
  <c r="D113" i="17" s="1"/>
  <c r="C171" i="18"/>
  <c r="C114" i="17" s="1"/>
  <c r="C113" i="17" s="1"/>
  <c r="N169" i="18"/>
  <c r="N116" i="17" s="1"/>
  <c r="N115" i="17" s="1"/>
  <c r="M169" i="18"/>
  <c r="M116" i="17" s="1"/>
  <c r="M115" i="17" s="1"/>
  <c r="L169" i="18"/>
  <c r="L116" i="17" s="1"/>
  <c r="L115" i="17" s="1"/>
  <c r="K169" i="18"/>
  <c r="K116" i="17" s="1"/>
  <c r="K115" i="17" s="1"/>
  <c r="J169" i="18"/>
  <c r="J116" i="17" s="1"/>
  <c r="J115" i="17" s="1"/>
  <c r="I169" i="18"/>
  <c r="I116" i="17" s="1"/>
  <c r="I115" i="17" s="1"/>
  <c r="H169" i="18"/>
  <c r="H116" i="17" s="1"/>
  <c r="H115" i="17" s="1"/>
  <c r="G169" i="18"/>
  <c r="G116" i="17" s="1"/>
  <c r="G115" i="17" s="1"/>
  <c r="F169" i="18"/>
  <c r="F116" i="17" s="1"/>
  <c r="F115" i="17" s="1"/>
  <c r="E169" i="18"/>
  <c r="E116" i="17" s="1"/>
  <c r="E115" i="17" s="1"/>
  <c r="D169" i="18"/>
  <c r="D116" i="17" s="1"/>
  <c r="D115" i="17" s="1"/>
  <c r="C169" i="18"/>
  <c r="C116" i="17" s="1"/>
  <c r="C115" i="17" s="1"/>
  <c r="N167" i="18"/>
  <c r="N112" i="17" s="1"/>
  <c r="N111" i="17" s="1"/>
  <c r="M167" i="18"/>
  <c r="M112" i="17" s="1"/>
  <c r="M111" i="17" s="1"/>
  <c r="L167" i="18"/>
  <c r="L112" i="17" s="1"/>
  <c r="L111" i="17" s="1"/>
  <c r="K167" i="18"/>
  <c r="K112" i="17" s="1"/>
  <c r="K111" i="17" s="1"/>
  <c r="J167" i="18"/>
  <c r="J112" i="17" s="1"/>
  <c r="J111" i="17" s="1"/>
  <c r="I167" i="18"/>
  <c r="I112" i="17" s="1"/>
  <c r="I111" i="17" s="1"/>
  <c r="H167" i="18"/>
  <c r="H112" i="17" s="1"/>
  <c r="H111" i="17" s="1"/>
  <c r="G167" i="18"/>
  <c r="G112" i="17" s="1"/>
  <c r="G111" i="17" s="1"/>
  <c r="F167" i="18"/>
  <c r="F112" i="17" s="1"/>
  <c r="F111" i="17" s="1"/>
  <c r="E167" i="18"/>
  <c r="D167" i="18"/>
  <c r="D112" i="17" s="1"/>
  <c r="D111" i="17" s="1"/>
  <c r="C167" i="18"/>
  <c r="C112" i="17" s="1"/>
  <c r="C111" i="17" s="1"/>
  <c r="N165" i="18"/>
  <c r="N110" i="17" s="1"/>
  <c r="M165" i="18"/>
  <c r="M110" i="17" s="1"/>
  <c r="L165" i="18"/>
  <c r="L110" i="17" s="1"/>
  <c r="K165" i="18"/>
  <c r="K110" i="17" s="1"/>
  <c r="J165" i="18"/>
  <c r="J110" i="17" s="1"/>
  <c r="I165" i="18"/>
  <c r="I110" i="17" s="1"/>
  <c r="H165" i="18"/>
  <c r="H110" i="17" s="1"/>
  <c r="G165" i="18"/>
  <c r="G110" i="17" s="1"/>
  <c r="F165" i="18"/>
  <c r="F110" i="17" s="1"/>
  <c r="E165" i="18"/>
  <c r="E110" i="17" s="1"/>
  <c r="D165" i="18"/>
  <c r="D110" i="17" s="1"/>
  <c r="C165" i="18"/>
  <c r="C110" i="17" s="1"/>
  <c r="P193" i="18"/>
  <c r="P64" i="17" s="1"/>
  <c r="O193" i="18"/>
  <c r="O64" i="17" s="1"/>
  <c r="P192" i="18"/>
  <c r="P60" i="17" s="1"/>
  <c r="O192" i="18"/>
  <c r="O60" i="17" s="1"/>
  <c r="P191" i="18"/>
  <c r="P56" i="17" s="1"/>
  <c r="O191" i="18"/>
  <c r="O56" i="17" s="1"/>
  <c r="P190" i="18"/>
  <c r="P52" i="17" s="1"/>
  <c r="O190" i="18"/>
  <c r="O52" i="17" s="1"/>
  <c r="P189" i="18"/>
  <c r="P48" i="17" s="1"/>
  <c r="O189" i="18"/>
  <c r="O48" i="17" s="1"/>
  <c r="P188" i="18"/>
  <c r="P44" i="17" s="1"/>
  <c r="O188" i="18"/>
  <c r="O44" i="17" s="1"/>
  <c r="P187" i="18"/>
  <c r="P40" i="17" s="1"/>
  <c r="O187" i="18"/>
  <c r="O40" i="17" s="1"/>
  <c r="P186" i="18"/>
  <c r="P36" i="17" s="1"/>
  <c r="O186" i="18"/>
  <c r="O36" i="17" s="1"/>
  <c r="P185" i="18"/>
  <c r="P32" i="17" s="1"/>
  <c r="O185" i="18"/>
  <c r="O32" i="17" s="1"/>
  <c r="P184" i="18"/>
  <c r="P28" i="17" s="1"/>
  <c r="O184" i="18"/>
  <c r="O28" i="17" s="1"/>
  <c r="P183" i="18"/>
  <c r="P24" i="17" s="1"/>
  <c r="O183" i="18"/>
  <c r="O24" i="17" s="1"/>
  <c r="P182" i="18"/>
  <c r="O182" i="18"/>
  <c r="O181" i="18" s="1"/>
  <c r="O124" i="17" s="1"/>
  <c r="O123" i="17" s="1"/>
  <c r="P179" i="18"/>
  <c r="O179" i="18"/>
  <c r="P177" i="18"/>
  <c r="O177" i="18"/>
  <c r="P176" i="18"/>
  <c r="O176" i="18"/>
  <c r="P174" i="18"/>
  <c r="O174" i="18"/>
  <c r="P172" i="18"/>
  <c r="O172" i="18"/>
  <c r="P170" i="18"/>
  <c r="O170" i="18"/>
  <c r="P168" i="18"/>
  <c r="O168" i="18"/>
  <c r="P166" i="18"/>
  <c r="O166" i="18"/>
  <c r="P164" i="18"/>
  <c r="O164" i="18"/>
  <c r="P154" i="18"/>
  <c r="O154" i="18"/>
  <c r="N163" i="18"/>
  <c r="N107" i="17" s="1"/>
  <c r="N106" i="17" s="1"/>
  <c r="M163" i="18"/>
  <c r="M107" i="17" s="1"/>
  <c r="M106" i="17" s="1"/>
  <c r="L163" i="18"/>
  <c r="L107" i="17" s="1"/>
  <c r="L106" i="17" s="1"/>
  <c r="K163" i="18"/>
  <c r="K107" i="17" s="1"/>
  <c r="K106" i="17" s="1"/>
  <c r="J163" i="18"/>
  <c r="J107" i="17" s="1"/>
  <c r="J106" i="17" s="1"/>
  <c r="I163" i="18"/>
  <c r="I107" i="17" s="1"/>
  <c r="I106" i="17" s="1"/>
  <c r="H163" i="18"/>
  <c r="H107" i="17" s="1"/>
  <c r="H106" i="17" s="1"/>
  <c r="G163" i="18"/>
  <c r="G107" i="17" s="1"/>
  <c r="G106" i="17" s="1"/>
  <c r="F163" i="18"/>
  <c r="F107" i="17" s="1"/>
  <c r="F106" i="17" s="1"/>
  <c r="E163" i="18"/>
  <c r="E107" i="17" s="1"/>
  <c r="E106" i="17" s="1"/>
  <c r="D163" i="18"/>
  <c r="D107" i="17" s="1"/>
  <c r="D106" i="17" s="1"/>
  <c r="C163" i="18"/>
  <c r="C107" i="17" s="1"/>
  <c r="C106" i="17" s="1"/>
  <c r="N153" i="18"/>
  <c r="N17" i="17" s="1"/>
  <c r="M153" i="18"/>
  <c r="M17" i="17" s="1"/>
  <c r="L153" i="18"/>
  <c r="L17" i="17" s="1"/>
  <c r="K153" i="18"/>
  <c r="K17" i="17" s="1"/>
  <c r="J153" i="18"/>
  <c r="J17" i="17" s="1"/>
  <c r="I153" i="18"/>
  <c r="I17" i="17" s="1"/>
  <c r="H153" i="18"/>
  <c r="H17" i="17" s="1"/>
  <c r="G153" i="18"/>
  <c r="G17" i="17" s="1"/>
  <c r="F153" i="18"/>
  <c r="F17" i="17" s="1"/>
  <c r="E153" i="18"/>
  <c r="D153" i="18"/>
  <c r="D17" i="17" s="1"/>
  <c r="C153" i="18"/>
  <c r="C17" i="17" s="1"/>
  <c r="M412" i="18"/>
  <c r="M140" i="17" s="1"/>
  <c r="K412" i="18"/>
  <c r="K140" i="17" s="1"/>
  <c r="I412" i="18"/>
  <c r="I140" i="17" s="1"/>
  <c r="G412" i="18"/>
  <c r="G140" i="17" s="1"/>
  <c r="E412" i="18"/>
  <c r="E140" i="17" s="1"/>
  <c r="C412" i="18"/>
  <c r="C140" i="17" s="1"/>
  <c r="N405" i="18"/>
  <c r="N65" i="17" s="1"/>
  <c r="M405" i="18"/>
  <c r="M65" i="17" s="1"/>
  <c r="L405" i="18"/>
  <c r="L65" i="17" s="1"/>
  <c r="K405" i="18"/>
  <c r="K65" i="17" s="1"/>
  <c r="J405" i="18"/>
  <c r="J65" i="17" s="1"/>
  <c r="I405" i="18"/>
  <c r="I65" i="17" s="1"/>
  <c r="H405" i="18"/>
  <c r="H65" i="17" s="1"/>
  <c r="G405" i="18"/>
  <c r="G65" i="17" s="1"/>
  <c r="F405" i="18"/>
  <c r="F65" i="17" s="1"/>
  <c r="E405" i="18"/>
  <c r="E65" i="17" s="1"/>
  <c r="D405" i="18"/>
  <c r="C405" i="18"/>
  <c r="C65" i="17" s="1"/>
  <c r="N402" i="18"/>
  <c r="N61" i="17" s="1"/>
  <c r="M402" i="18"/>
  <c r="M61" i="17" s="1"/>
  <c r="L402" i="18"/>
  <c r="L61" i="17" s="1"/>
  <c r="K402" i="18"/>
  <c r="K61" i="17" s="1"/>
  <c r="J402" i="18"/>
  <c r="J61" i="17" s="1"/>
  <c r="I402" i="18"/>
  <c r="I61" i="17" s="1"/>
  <c r="H402" i="18"/>
  <c r="H61" i="17" s="1"/>
  <c r="G402" i="18"/>
  <c r="G61" i="17" s="1"/>
  <c r="F402" i="18"/>
  <c r="F61" i="17" s="1"/>
  <c r="E402" i="18"/>
  <c r="E61" i="17" s="1"/>
  <c r="D402" i="18"/>
  <c r="C402" i="18"/>
  <c r="C61" i="17" s="1"/>
  <c r="N399" i="18"/>
  <c r="N57" i="17" s="1"/>
  <c r="M399" i="18"/>
  <c r="M57" i="17" s="1"/>
  <c r="L399" i="18"/>
  <c r="L57" i="17" s="1"/>
  <c r="K399" i="18"/>
  <c r="K57" i="17" s="1"/>
  <c r="J399" i="18"/>
  <c r="J57" i="17" s="1"/>
  <c r="I399" i="18"/>
  <c r="I57" i="17" s="1"/>
  <c r="H399" i="18"/>
  <c r="H57" i="17" s="1"/>
  <c r="G399" i="18"/>
  <c r="G57" i="17" s="1"/>
  <c r="F399" i="18"/>
  <c r="F57" i="17" s="1"/>
  <c r="E399" i="18"/>
  <c r="E57" i="17" s="1"/>
  <c r="D399" i="18"/>
  <c r="C399" i="18"/>
  <c r="C57" i="17" s="1"/>
  <c r="N396" i="18"/>
  <c r="N53" i="17" s="1"/>
  <c r="M396" i="18"/>
  <c r="M53" i="17" s="1"/>
  <c r="L396" i="18"/>
  <c r="L53" i="17" s="1"/>
  <c r="K396" i="18"/>
  <c r="K53" i="17" s="1"/>
  <c r="J396" i="18"/>
  <c r="J53" i="17" s="1"/>
  <c r="I396" i="18"/>
  <c r="I53" i="17" s="1"/>
  <c r="H396" i="18"/>
  <c r="H53" i="17" s="1"/>
  <c r="G396" i="18"/>
  <c r="G53" i="17" s="1"/>
  <c r="F396" i="18"/>
  <c r="F53" i="17" s="1"/>
  <c r="E396" i="18"/>
  <c r="E53" i="17" s="1"/>
  <c r="D396" i="18"/>
  <c r="C396" i="18"/>
  <c r="C53" i="17" s="1"/>
  <c r="N393" i="18"/>
  <c r="N49" i="17" s="1"/>
  <c r="M393" i="18"/>
  <c r="M49" i="17" s="1"/>
  <c r="L393" i="18"/>
  <c r="L49" i="17" s="1"/>
  <c r="K393" i="18"/>
  <c r="K49" i="17" s="1"/>
  <c r="J393" i="18"/>
  <c r="J49" i="17" s="1"/>
  <c r="I393" i="18"/>
  <c r="I49" i="17" s="1"/>
  <c r="H393" i="18"/>
  <c r="H49" i="17" s="1"/>
  <c r="G393" i="18"/>
  <c r="G49" i="17" s="1"/>
  <c r="F393" i="18"/>
  <c r="F49" i="17" s="1"/>
  <c r="E393" i="18"/>
  <c r="E49" i="17" s="1"/>
  <c r="D393" i="18"/>
  <c r="C393" i="18"/>
  <c r="C49" i="17" s="1"/>
  <c r="N390" i="18"/>
  <c r="N45" i="17" s="1"/>
  <c r="M390" i="18"/>
  <c r="M45" i="17" s="1"/>
  <c r="L390" i="18"/>
  <c r="L45" i="17" s="1"/>
  <c r="K390" i="18"/>
  <c r="K45" i="17" s="1"/>
  <c r="J390" i="18"/>
  <c r="J45" i="17" s="1"/>
  <c r="I390" i="18"/>
  <c r="I45" i="17" s="1"/>
  <c r="H390" i="18"/>
  <c r="H45" i="17" s="1"/>
  <c r="G390" i="18"/>
  <c r="G45" i="17" s="1"/>
  <c r="F390" i="18"/>
  <c r="F45" i="17" s="1"/>
  <c r="E390" i="18"/>
  <c r="E45" i="17" s="1"/>
  <c r="D390" i="18"/>
  <c r="C390" i="18"/>
  <c r="C45" i="17" s="1"/>
  <c r="N387" i="18"/>
  <c r="N41" i="17" s="1"/>
  <c r="M387" i="18"/>
  <c r="M41" i="17" s="1"/>
  <c r="L387" i="18"/>
  <c r="L41" i="17" s="1"/>
  <c r="K387" i="18"/>
  <c r="K41" i="17" s="1"/>
  <c r="J387" i="18"/>
  <c r="J41" i="17" s="1"/>
  <c r="I387" i="18"/>
  <c r="I41" i="17" s="1"/>
  <c r="H387" i="18"/>
  <c r="H41" i="17" s="1"/>
  <c r="G387" i="18"/>
  <c r="G41" i="17" s="1"/>
  <c r="F387" i="18"/>
  <c r="F41" i="17" s="1"/>
  <c r="E387" i="18"/>
  <c r="E41" i="17" s="1"/>
  <c r="D387" i="18"/>
  <c r="C387" i="18"/>
  <c r="C41" i="17" s="1"/>
  <c r="N384" i="18"/>
  <c r="N37" i="17" s="1"/>
  <c r="M384" i="18"/>
  <c r="M37" i="17" s="1"/>
  <c r="L384" i="18"/>
  <c r="L37" i="17" s="1"/>
  <c r="K384" i="18"/>
  <c r="K37" i="17" s="1"/>
  <c r="J384" i="18"/>
  <c r="J37" i="17" s="1"/>
  <c r="I384" i="18"/>
  <c r="I37" i="17" s="1"/>
  <c r="H384" i="18"/>
  <c r="H37" i="17" s="1"/>
  <c r="G384" i="18"/>
  <c r="G37" i="17" s="1"/>
  <c r="F384" i="18"/>
  <c r="F37" i="17" s="1"/>
  <c r="E384" i="18"/>
  <c r="E37" i="17" s="1"/>
  <c r="D384" i="18"/>
  <c r="C384" i="18"/>
  <c r="C37" i="17" s="1"/>
  <c r="N381" i="18"/>
  <c r="N33" i="17" s="1"/>
  <c r="M381" i="18"/>
  <c r="M33" i="17" s="1"/>
  <c r="L381" i="18"/>
  <c r="L33" i="17" s="1"/>
  <c r="K381" i="18"/>
  <c r="K33" i="17" s="1"/>
  <c r="J381" i="18"/>
  <c r="J33" i="17" s="1"/>
  <c r="I381" i="18"/>
  <c r="I33" i="17" s="1"/>
  <c r="H381" i="18"/>
  <c r="H33" i="17" s="1"/>
  <c r="G381" i="18"/>
  <c r="G33" i="17" s="1"/>
  <c r="F381" i="18"/>
  <c r="F33" i="17" s="1"/>
  <c r="E381" i="18"/>
  <c r="E33" i="17" s="1"/>
  <c r="D381" i="18"/>
  <c r="C381" i="18"/>
  <c r="C33" i="17" s="1"/>
  <c r="N378" i="18"/>
  <c r="N29" i="17" s="1"/>
  <c r="M378" i="18"/>
  <c r="M29" i="17" s="1"/>
  <c r="L378" i="18"/>
  <c r="L29" i="17" s="1"/>
  <c r="K378" i="18"/>
  <c r="K29" i="17" s="1"/>
  <c r="J378" i="18"/>
  <c r="J29" i="17" s="1"/>
  <c r="I378" i="18"/>
  <c r="I29" i="17" s="1"/>
  <c r="H378" i="18"/>
  <c r="H29" i="17" s="1"/>
  <c r="G378" i="18"/>
  <c r="G29" i="17" s="1"/>
  <c r="F378" i="18"/>
  <c r="F29" i="17" s="1"/>
  <c r="E378" i="18"/>
  <c r="E29" i="17" s="1"/>
  <c r="D378" i="18"/>
  <c r="C378" i="18"/>
  <c r="C29" i="17" s="1"/>
  <c r="N376" i="18"/>
  <c r="N25" i="17" s="1"/>
  <c r="M376" i="18"/>
  <c r="M25" i="17" s="1"/>
  <c r="L376" i="18"/>
  <c r="L25" i="17" s="1"/>
  <c r="K376" i="18"/>
  <c r="K25" i="17" s="1"/>
  <c r="J376" i="18"/>
  <c r="J25" i="17" s="1"/>
  <c r="I376" i="18"/>
  <c r="I25" i="17" s="1"/>
  <c r="H376" i="18"/>
  <c r="H25" i="17" s="1"/>
  <c r="G376" i="18"/>
  <c r="G25" i="17" s="1"/>
  <c r="F376" i="18"/>
  <c r="F25" i="17" s="1"/>
  <c r="E376" i="18"/>
  <c r="E25" i="17" s="1"/>
  <c r="D376" i="18"/>
  <c r="C376" i="18"/>
  <c r="P343" i="18"/>
  <c r="N343" i="18"/>
  <c r="N21" i="17" s="1"/>
  <c r="M343" i="18"/>
  <c r="M21" i="17" s="1"/>
  <c r="L343" i="18"/>
  <c r="L21" i="17" s="1"/>
  <c r="K343" i="18"/>
  <c r="K21" i="17" s="1"/>
  <c r="J343" i="18"/>
  <c r="J21" i="17" s="1"/>
  <c r="I343" i="18"/>
  <c r="I21" i="17" s="1"/>
  <c r="H343" i="18"/>
  <c r="H21" i="17" s="1"/>
  <c r="G343" i="18"/>
  <c r="G21" i="17" s="1"/>
  <c r="F343" i="18"/>
  <c r="F21" i="17" s="1"/>
  <c r="E343" i="18"/>
  <c r="E21" i="17" s="1"/>
  <c r="D343" i="18"/>
  <c r="D21" i="17" s="1"/>
  <c r="C343" i="18"/>
  <c r="C21" i="17" s="1"/>
  <c r="N336" i="18"/>
  <c r="N105" i="17" s="1"/>
  <c r="N104" i="17" s="1"/>
  <c r="M336" i="18"/>
  <c r="M105" i="17" s="1"/>
  <c r="M104" i="17" s="1"/>
  <c r="L336" i="18"/>
  <c r="L105" i="17" s="1"/>
  <c r="L104" i="17" s="1"/>
  <c r="K336" i="18"/>
  <c r="K105" i="17" s="1"/>
  <c r="K104" i="17" s="1"/>
  <c r="J336" i="18"/>
  <c r="J105" i="17" s="1"/>
  <c r="J104" i="17" s="1"/>
  <c r="I336" i="18"/>
  <c r="H336" i="18"/>
  <c r="H105" i="17" s="1"/>
  <c r="H104" i="17" s="1"/>
  <c r="G336" i="18"/>
  <c r="G105" i="17" s="1"/>
  <c r="G104" i="17" s="1"/>
  <c r="F336" i="18"/>
  <c r="F105" i="17" s="1"/>
  <c r="F104" i="17" s="1"/>
  <c r="E105" i="17"/>
  <c r="E104" i="17" s="1"/>
  <c r="D336" i="18"/>
  <c r="D105" i="17" s="1"/>
  <c r="D104" i="17" s="1"/>
  <c r="C336" i="18"/>
  <c r="C105" i="17" s="1"/>
  <c r="C104" i="17" s="1"/>
  <c r="N331" i="18"/>
  <c r="N103" i="17" s="1"/>
  <c r="M331" i="18"/>
  <c r="M103" i="17" s="1"/>
  <c r="L331" i="18"/>
  <c r="L103" i="17" s="1"/>
  <c r="K331" i="18"/>
  <c r="K103" i="17" s="1"/>
  <c r="J331" i="18"/>
  <c r="J103" i="17" s="1"/>
  <c r="I331" i="18"/>
  <c r="I103" i="17" s="1"/>
  <c r="H331" i="18"/>
  <c r="H103" i="17" s="1"/>
  <c r="G331" i="18"/>
  <c r="G103" i="17" s="1"/>
  <c r="F331" i="18"/>
  <c r="F103" i="17" s="1"/>
  <c r="E331" i="18"/>
  <c r="E103" i="17" s="1"/>
  <c r="D331" i="18"/>
  <c r="D103" i="17" s="1"/>
  <c r="C331" i="18"/>
  <c r="C103" i="17" s="1"/>
  <c r="N327" i="18"/>
  <c r="N100" i="17" s="1"/>
  <c r="N98" i="17" s="1"/>
  <c r="M327" i="18"/>
  <c r="M100" i="17" s="1"/>
  <c r="M98" i="17" s="1"/>
  <c r="L327" i="18"/>
  <c r="L100" i="17" s="1"/>
  <c r="L98" i="17" s="1"/>
  <c r="K327" i="18"/>
  <c r="K100" i="17" s="1"/>
  <c r="K98" i="17" s="1"/>
  <c r="J327" i="18"/>
  <c r="J100" i="17" s="1"/>
  <c r="J98" i="17" s="1"/>
  <c r="I327" i="18"/>
  <c r="I100" i="17" s="1"/>
  <c r="I98" i="17" s="1"/>
  <c r="H327" i="18"/>
  <c r="H100" i="17" s="1"/>
  <c r="H98" i="17" s="1"/>
  <c r="G327" i="18"/>
  <c r="G100" i="17" s="1"/>
  <c r="G98" i="17" s="1"/>
  <c r="F327" i="18"/>
  <c r="F100" i="17" s="1"/>
  <c r="F98" i="17" s="1"/>
  <c r="E327" i="18"/>
  <c r="E100" i="17" s="1"/>
  <c r="E98" i="17" s="1"/>
  <c r="D327" i="18"/>
  <c r="D100" i="17" s="1"/>
  <c r="D98" i="17" s="1"/>
  <c r="C327" i="18"/>
  <c r="C100" i="17" s="1"/>
  <c r="C98" i="17" s="1"/>
  <c r="N323" i="18"/>
  <c r="N97" i="17" s="1"/>
  <c r="M323" i="18"/>
  <c r="M97" i="17" s="1"/>
  <c r="L323" i="18"/>
  <c r="L97" i="17" s="1"/>
  <c r="K323" i="18"/>
  <c r="K97" i="17" s="1"/>
  <c r="J323" i="18"/>
  <c r="J97" i="17" s="1"/>
  <c r="I323" i="18"/>
  <c r="I97" i="17" s="1"/>
  <c r="H323" i="18"/>
  <c r="H97" i="17" s="1"/>
  <c r="G323" i="18"/>
  <c r="G97" i="17" s="1"/>
  <c r="F323" i="18"/>
  <c r="F97" i="17" s="1"/>
  <c r="E323" i="18"/>
  <c r="E97" i="17" s="1"/>
  <c r="D323" i="18"/>
  <c r="D97" i="17" s="1"/>
  <c r="C323" i="18"/>
  <c r="C97" i="17" s="1"/>
  <c r="N320" i="18"/>
  <c r="N94" i="17" s="1"/>
  <c r="N92" i="17" s="1"/>
  <c r="L320" i="18"/>
  <c r="L94" i="17" s="1"/>
  <c r="L92" i="17" s="1"/>
  <c r="K320" i="18"/>
  <c r="K94" i="17" s="1"/>
  <c r="K92" i="17" s="1"/>
  <c r="J320" i="18"/>
  <c r="J94" i="17" s="1"/>
  <c r="J92" i="17" s="1"/>
  <c r="I320" i="18"/>
  <c r="I94" i="17" s="1"/>
  <c r="I92" i="17" s="1"/>
  <c r="H320" i="18"/>
  <c r="H94" i="17" s="1"/>
  <c r="H92" i="17" s="1"/>
  <c r="G320" i="18"/>
  <c r="G94" i="17" s="1"/>
  <c r="G92" i="17" s="1"/>
  <c r="F320" i="18"/>
  <c r="F94" i="17" s="1"/>
  <c r="F92" i="17" s="1"/>
  <c r="E320" i="18"/>
  <c r="E94" i="17" s="1"/>
  <c r="E92" i="17" s="1"/>
  <c r="D320" i="18"/>
  <c r="D94" i="17" s="1"/>
  <c r="D92" i="17" s="1"/>
  <c r="C320" i="18"/>
  <c r="C94" i="17" s="1"/>
  <c r="C92" i="17" s="1"/>
  <c r="N316" i="18"/>
  <c r="N91" i="17" s="1"/>
  <c r="N89" i="17" s="1"/>
  <c r="M316" i="18"/>
  <c r="M91" i="17" s="1"/>
  <c r="M89" i="17" s="1"/>
  <c r="L316" i="18"/>
  <c r="L91" i="17" s="1"/>
  <c r="L89" i="17" s="1"/>
  <c r="K316" i="18"/>
  <c r="K91" i="17" s="1"/>
  <c r="K89" i="17" s="1"/>
  <c r="J316" i="18"/>
  <c r="J91" i="17" s="1"/>
  <c r="J89" i="17" s="1"/>
  <c r="I316" i="18"/>
  <c r="I91" i="17" s="1"/>
  <c r="I89" i="17" s="1"/>
  <c r="H316" i="18"/>
  <c r="H91" i="17" s="1"/>
  <c r="H89" i="17" s="1"/>
  <c r="G316" i="18"/>
  <c r="G91" i="17" s="1"/>
  <c r="G89" i="17" s="1"/>
  <c r="F316" i="18"/>
  <c r="F91" i="17" s="1"/>
  <c r="F89" i="17" s="1"/>
  <c r="E316" i="18"/>
  <c r="E91" i="17" s="1"/>
  <c r="E89" i="17" s="1"/>
  <c r="D316" i="18"/>
  <c r="D91" i="17" s="1"/>
  <c r="D89" i="17" s="1"/>
  <c r="C316" i="18"/>
  <c r="C91" i="17" s="1"/>
  <c r="C89" i="17" s="1"/>
  <c r="N312" i="18"/>
  <c r="N88" i="17" s="1"/>
  <c r="N86" i="17" s="1"/>
  <c r="M312" i="18"/>
  <c r="M88" i="17" s="1"/>
  <c r="M86" i="17" s="1"/>
  <c r="L312" i="18"/>
  <c r="L88" i="17" s="1"/>
  <c r="L86" i="17" s="1"/>
  <c r="K312" i="18"/>
  <c r="K88" i="17" s="1"/>
  <c r="K86" i="17" s="1"/>
  <c r="J312" i="18"/>
  <c r="J88" i="17" s="1"/>
  <c r="J86" i="17" s="1"/>
  <c r="I312" i="18"/>
  <c r="I88" i="17" s="1"/>
  <c r="I86" i="17" s="1"/>
  <c r="H312" i="18"/>
  <c r="H88" i="17" s="1"/>
  <c r="H86" i="17" s="1"/>
  <c r="G312" i="18"/>
  <c r="G88" i="17" s="1"/>
  <c r="G86" i="17" s="1"/>
  <c r="F312" i="18"/>
  <c r="F88" i="17" s="1"/>
  <c r="F86" i="17" s="1"/>
  <c r="E312" i="18"/>
  <c r="E88" i="17" s="1"/>
  <c r="E86" i="17" s="1"/>
  <c r="D312" i="18"/>
  <c r="D88" i="17" s="1"/>
  <c r="D86" i="17" s="1"/>
  <c r="C312" i="18"/>
  <c r="C88" i="17" s="1"/>
  <c r="C86" i="17" s="1"/>
  <c r="N308" i="18"/>
  <c r="N85" i="17" s="1"/>
  <c r="N84" i="17" s="1"/>
  <c r="M308" i="18"/>
  <c r="M85" i="17" s="1"/>
  <c r="M84" i="17" s="1"/>
  <c r="L308" i="18"/>
  <c r="L85" i="17" s="1"/>
  <c r="L84" i="17" s="1"/>
  <c r="K308" i="18"/>
  <c r="K85" i="17" s="1"/>
  <c r="K84" i="17" s="1"/>
  <c r="J308" i="18"/>
  <c r="J85" i="17" s="1"/>
  <c r="J84" i="17" s="1"/>
  <c r="I308" i="18"/>
  <c r="I85" i="17" s="1"/>
  <c r="I84" i="17" s="1"/>
  <c r="H308" i="18"/>
  <c r="H85" i="17" s="1"/>
  <c r="H84" i="17" s="1"/>
  <c r="G308" i="18"/>
  <c r="G85" i="17" s="1"/>
  <c r="G84" i="17" s="1"/>
  <c r="F308" i="18"/>
  <c r="F85" i="17" s="1"/>
  <c r="F84" i="17" s="1"/>
  <c r="E308" i="18"/>
  <c r="E85" i="17" s="1"/>
  <c r="E84" i="17" s="1"/>
  <c r="D308" i="18"/>
  <c r="D85" i="17" s="1"/>
  <c r="D84" i="17" s="1"/>
  <c r="C308" i="18"/>
  <c r="C85" i="17" s="1"/>
  <c r="C84" i="17" s="1"/>
  <c r="N304" i="18"/>
  <c r="N83" i="17" s="1"/>
  <c r="N81" i="17" s="1"/>
  <c r="M304" i="18"/>
  <c r="M83" i="17" s="1"/>
  <c r="M81" i="17" s="1"/>
  <c r="L304" i="18"/>
  <c r="L83" i="17" s="1"/>
  <c r="L81" i="17" s="1"/>
  <c r="K304" i="18"/>
  <c r="K83" i="17" s="1"/>
  <c r="K81" i="17" s="1"/>
  <c r="J304" i="18"/>
  <c r="J83" i="17" s="1"/>
  <c r="J81" i="17" s="1"/>
  <c r="I304" i="18"/>
  <c r="I83" i="17" s="1"/>
  <c r="I81" i="17" s="1"/>
  <c r="H304" i="18"/>
  <c r="H83" i="17" s="1"/>
  <c r="H81" i="17" s="1"/>
  <c r="G304" i="18"/>
  <c r="G83" i="17" s="1"/>
  <c r="G81" i="17" s="1"/>
  <c r="F304" i="18"/>
  <c r="F83" i="17" s="1"/>
  <c r="F81" i="17" s="1"/>
  <c r="E304" i="18"/>
  <c r="E83" i="17" s="1"/>
  <c r="E81" i="17" s="1"/>
  <c r="D304" i="18"/>
  <c r="D83" i="17" s="1"/>
  <c r="D81" i="17" s="1"/>
  <c r="C304" i="18"/>
  <c r="C83" i="17" s="1"/>
  <c r="C81" i="17" s="1"/>
  <c r="N300" i="18"/>
  <c r="N80" i="17" s="1"/>
  <c r="N78" i="17" s="1"/>
  <c r="M300" i="18"/>
  <c r="M80" i="17" s="1"/>
  <c r="M78" i="17" s="1"/>
  <c r="L300" i="18"/>
  <c r="L80" i="17" s="1"/>
  <c r="L78" i="17" s="1"/>
  <c r="K300" i="18"/>
  <c r="K80" i="17" s="1"/>
  <c r="K78" i="17" s="1"/>
  <c r="J300" i="18"/>
  <c r="J80" i="17" s="1"/>
  <c r="J78" i="17" s="1"/>
  <c r="I300" i="18"/>
  <c r="I80" i="17" s="1"/>
  <c r="I78" i="17" s="1"/>
  <c r="H300" i="18"/>
  <c r="H80" i="17" s="1"/>
  <c r="H78" i="17" s="1"/>
  <c r="G300" i="18"/>
  <c r="G80" i="17" s="1"/>
  <c r="G78" i="17" s="1"/>
  <c r="F300" i="18"/>
  <c r="F80" i="17" s="1"/>
  <c r="F78" i="17" s="1"/>
  <c r="E300" i="18"/>
  <c r="E80" i="17" s="1"/>
  <c r="E78" i="17" s="1"/>
  <c r="D300" i="18"/>
  <c r="D80" i="17" s="1"/>
  <c r="D78" i="17" s="1"/>
  <c r="C300" i="18"/>
  <c r="C80" i="17" s="1"/>
  <c r="C78" i="17" s="1"/>
  <c r="N296" i="18"/>
  <c r="N77" i="17" s="1"/>
  <c r="N75" i="17" s="1"/>
  <c r="M296" i="18"/>
  <c r="M77" i="17" s="1"/>
  <c r="M75" i="17" s="1"/>
  <c r="L296" i="18"/>
  <c r="L77" i="17" s="1"/>
  <c r="L75" i="17" s="1"/>
  <c r="K296" i="18"/>
  <c r="K77" i="17" s="1"/>
  <c r="K75" i="17" s="1"/>
  <c r="J296" i="18"/>
  <c r="J77" i="17" s="1"/>
  <c r="J75" i="17" s="1"/>
  <c r="I296" i="18"/>
  <c r="I77" i="17" s="1"/>
  <c r="I75" i="17" s="1"/>
  <c r="H296" i="18"/>
  <c r="H77" i="17" s="1"/>
  <c r="H75" i="17" s="1"/>
  <c r="G296" i="18"/>
  <c r="G77" i="17" s="1"/>
  <c r="G75" i="17" s="1"/>
  <c r="F296" i="18"/>
  <c r="F77" i="17" s="1"/>
  <c r="F75" i="17" s="1"/>
  <c r="E296" i="18"/>
  <c r="E77" i="17" s="1"/>
  <c r="E75" i="17" s="1"/>
  <c r="D296" i="18"/>
  <c r="D77" i="17" s="1"/>
  <c r="D75" i="17" s="1"/>
  <c r="C296" i="18"/>
  <c r="C77" i="17" s="1"/>
  <c r="C75" i="17" s="1"/>
  <c r="N292" i="18"/>
  <c r="N74" i="17" s="1"/>
  <c r="N72" i="17" s="1"/>
  <c r="M292" i="18"/>
  <c r="M74" i="17" s="1"/>
  <c r="M72" i="17" s="1"/>
  <c r="L292" i="18"/>
  <c r="L74" i="17" s="1"/>
  <c r="L72" i="17" s="1"/>
  <c r="K292" i="18"/>
  <c r="K74" i="17" s="1"/>
  <c r="K72" i="17" s="1"/>
  <c r="J292" i="18"/>
  <c r="J74" i="17" s="1"/>
  <c r="J72" i="17" s="1"/>
  <c r="I292" i="18"/>
  <c r="I74" i="17" s="1"/>
  <c r="I72" i="17" s="1"/>
  <c r="H292" i="18"/>
  <c r="H74" i="17" s="1"/>
  <c r="H72" i="17" s="1"/>
  <c r="G292" i="18"/>
  <c r="G74" i="17" s="1"/>
  <c r="G72" i="17" s="1"/>
  <c r="F292" i="18"/>
  <c r="F74" i="17" s="1"/>
  <c r="F72" i="17" s="1"/>
  <c r="E292" i="18"/>
  <c r="E74" i="17" s="1"/>
  <c r="E72" i="17" s="1"/>
  <c r="D292" i="18"/>
  <c r="D74" i="17" s="1"/>
  <c r="D72" i="17" s="1"/>
  <c r="C292" i="18"/>
  <c r="C74" i="17" s="1"/>
  <c r="C72" i="17" s="1"/>
  <c r="N288" i="18"/>
  <c r="N71" i="17" s="1"/>
  <c r="N69" i="17" s="1"/>
  <c r="M288" i="18"/>
  <c r="M71" i="17" s="1"/>
  <c r="M69" i="17" s="1"/>
  <c r="L288" i="18"/>
  <c r="L71" i="17" s="1"/>
  <c r="L69" i="17" s="1"/>
  <c r="K288" i="18"/>
  <c r="K71" i="17" s="1"/>
  <c r="K69" i="17" s="1"/>
  <c r="J288" i="18"/>
  <c r="J71" i="17" s="1"/>
  <c r="J69" i="17" s="1"/>
  <c r="I288" i="18"/>
  <c r="I71" i="17" s="1"/>
  <c r="I69" i="17" s="1"/>
  <c r="H288" i="18"/>
  <c r="H71" i="17" s="1"/>
  <c r="H69" i="17" s="1"/>
  <c r="G288" i="18"/>
  <c r="G71" i="17" s="1"/>
  <c r="G69" i="17" s="1"/>
  <c r="F288" i="18"/>
  <c r="F71" i="17" s="1"/>
  <c r="F69" i="17" s="1"/>
  <c r="E288" i="18"/>
  <c r="E71" i="17" s="1"/>
  <c r="E69" i="17" s="1"/>
  <c r="D288" i="18"/>
  <c r="D71" i="17" s="1"/>
  <c r="D69" i="17" s="1"/>
  <c r="C288" i="18"/>
  <c r="C71" i="17" s="1"/>
  <c r="C69" i="17" s="1"/>
  <c r="N284" i="18"/>
  <c r="N68" i="17" s="1"/>
  <c r="N66" i="17" s="1"/>
  <c r="M284" i="18"/>
  <c r="L284" i="18"/>
  <c r="L68" i="17" s="1"/>
  <c r="L66" i="17" s="1"/>
  <c r="K284" i="18"/>
  <c r="K68" i="17" s="1"/>
  <c r="K66" i="17" s="1"/>
  <c r="J284" i="18"/>
  <c r="J68" i="17" s="1"/>
  <c r="J66" i="17" s="1"/>
  <c r="I284" i="18"/>
  <c r="I68" i="17" s="1"/>
  <c r="I66" i="17" s="1"/>
  <c r="H284" i="18"/>
  <c r="H68" i="17" s="1"/>
  <c r="H66" i="17" s="1"/>
  <c r="G284" i="18"/>
  <c r="G68" i="17" s="1"/>
  <c r="G66" i="17" s="1"/>
  <c r="F284" i="18"/>
  <c r="F68" i="17" s="1"/>
  <c r="F66" i="17" s="1"/>
  <c r="E284" i="18"/>
  <c r="E68" i="17" s="1"/>
  <c r="E66" i="17" s="1"/>
  <c r="D284" i="18"/>
  <c r="D68" i="17" s="1"/>
  <c r="C284" i="18"/>
  <c r="C68" i="17" s="1"/>
  <c r="C66" i="17" s="1"/>
  <c r="N271" i="18"/>
  <c r="M271" i="18"/>
  <c r="M20" i="17" s="1"/>
  <c r="L271" i="18"/>
  <c r="K271" i="18"/>
  <c r="J271" i="18"/>
  <c r="I271" i="18"/>
  <c r="I20" i="17" s="1"/>
  <c r="H271" i="18"/>
  <c r="G271" i="18"/>
  <c r="F271" i="18"/>
  <c r="E271" i="18"/>
  <c r="D271" i="18"/>
  <c r="C271" i="18"/>
  <c r="N149" i="18"/>
  <c r="N126" i="17" s="1"/>
  <c r="M149" i="18"/>
  <c r="M126" i="17" s="1"/>
  <c r="L149" i="18"/>
  <c r="L126" i="17" s="1"/>
  <c r="K149" i="18"/>
  <c r="K126" i="17" s="1"/>
  <c r="J149" i="18"/>
  <c r="J126" i="17" s="1"/>
  <c r="I149" i="18"/>
  <c r="I126" i="17" s="1"/>
  <c r="H149" i="18"/>
  <c r="H126" i="17" s="1"/>
  <c r="G149" i="18"/>
  <c r="G126" i="17" s="1"/>
  <c r="F149" i="18"/>
  <c r="F126" i="17" s="1"/>
  <c r="E149" i="18"/>
  <c r="E126" i="17" s="1"/>
  <c r="D149" i="18"/>
  <c r="D126" i="17" s="1"/>
  <c r="C149" i="18"/>
  <c r="C126" i="17" s="1"/>
  <c r="N34" i="18"/>
  <c r="M34" i="18"/>
  <c r="L34" i="18"/>
  <c r="K34" i="18"/>
  <c r="J34" i="18"/>
  <c r="I34" i="18"/>
  <c r="H34" i="18"/>
  <c r="G34" i="18"/>
  <c r="F34" i="18"/>
  <c r="E34" i="18"/>
  <c r="N147" i="18"/>
  <c r="N109" i="17" s="1"/>
  <c r="M147" i="18"/>
  <c r="M109" i="17" s="1"/>
  <c r="L147" i="18"/>
  <c r="L109" i="17" s="1"/>
  <c r="L108" i="17" s="1"/>
  <c r="K147" i="18"/>
  <c r="K109" i="17" s="1"/>
  <c r="K108" i="17" s="1"/>
  <c r="J147" i="18"/>
  <c r="J109" i="17" s="1"/>
  <c r="I147" i="18"/>
  <c r="I109" i="17" s="1"/>
  <c r="H147" i="18"/>
  <c r="H109" i="17" s="1"/>
  <c r="G147" i="18"/>
  <c r="G109" i="17" s="1"/>
  <c r="F147" i="18"/>
  <c r="F109" i="17" s="1"/>
  <c r="E147" i="18"/>
  <c r="E109" i="17" s="1"/>
  <c r="D147" i="18"/>
  <c r="D109" i="17" s="1"/>
  <c r="D108" i="17" s="1"/>
  <c r="C147" i="18"/>
  <c r="C109" i="17" s="1"/>
  <c r="C108" i="17" s="1"/>
  <c r="D14" i="18"/>
  <c r="D15" i="17" s="1"/>
  <c r="C14" i="18"/>
  <c r="C15" i="17" s="1"/>
  <c r="L14" i="18"/>
  <c r="L15" i="17" s="1"/>
  <c r="K14" i="18"/>
  <c r="K15" i="17" s="1"/>
  <c r="N14" i="18"/>
  <c r="N15" i="17" s="1"/>
  <c r="M14" i="18"/>
  <c r="M15" i="17" s="1"/>
  <c r="J14" i="18"/>
  <c r="J15" i="17" s="1"/>
  <c r="I14" i="18"/>
  <c r="I15" i="17" s="1"/>
  <c r="H14" i="18"/>
  <c r="H15" i="17" s="1"/>
  <c r="G14" i="18"/>
  <c r="G15" i="17" s="1"/>
  <c r="H133" i="17" l="1"/>
  <c r="I133" i="17"/>
  <c r="J133" i="17"/>
  <c r="K133" i="17"/>
  <c r="L133" i="17"/>
  <c r="E133" i="17"/>
  <c r="M133" i="17"/>
  <c r="F133" i="17"/>
  <c r="N133" i="17"/>
  <c r="G133" i="17"/>
  <c r="J108" i="17"/>
  <c r="E20" i="17"/>
  <c r="E340" i="18"/>
  <c r="F20" i="17"/>
  <c r="F340" i="18"/>
  <c r="N20" i="17"/>
  <c r="N340" i="18"/>
  <c r="D20" i="17"/>
  <c r="D340" i="18"/>
  <c r="H20" i="17"/>
  <c r="H340" i="18"/>
  <c r="L20" i="17"/>
  <c r="L340" i="18"/>
  <c r="J20" i="17"/>
  <c r="J340" i="18"/>
  <c r="C20" i="17"/>
  <c r="C340" i="18"/>
  <c r="K20" i="17"/>
  <c r="K340" i="18"/>
  <c r="G20" i="17"/>
  <c r="G340" i="18"/>
  <c r="M68" i="17"/>
  <c r="M66" i="17" s="1"/>
  <c r="I105" i="17"/>
  <c r="I104" i="17" s="1"/>
  <c r="I340" i="18"/>
  <c r="I108" i="17"/>
  <c r="C25" i="17"/>
  <c r="F108" i="17"/>
  <c r="N108" i="17"/>
  <c r="E112" i="17"/>
  <c r="E111" i="17" s="1"/>
  <c r="E17" i="17"/>
  <c r="E194" i="18"/>
  <c r="D45" i="17"/>
  <c r="P390" i="18"/>
  <c r="P45" i="17" s="1"/>
  <c r="D33" i="17"/>
  <c r="P381" i="18"/>
  <c r="P33" i="17" s="1"/>
  <c r="D65" i="17"/>
  <c r="P405" i="18"/>
  <c r="P65" i="17" s="1"/>
  <c r="D53" i="17"/>
  <c r="P396" i="18"/>
  <c r="P53" i="17" s="1"/>
  <c r="D41" i="17"/>
  <c r="P387" i="18"/>
  <c r="P41" i="17" s="1"/>
  <c r="D29" i="17"/>
  <c r="P378" i="18"/>
  <c r="P29" i="17" s="1"/>
  <c r="D61" i="17"/>
  <c r="P402" i="18"/>
  <c r="P61" i="17" s="1"/>
  <c r="P21" i="17"/>
  <c r="P13" i="17"/>
  <c r="P12" i="17" s="1"/>
  <c r="D49" i="17"/>
  <c r="P393" i="18"/>
  <c r="P49" i="17" s="1"/>
  <c r="D37" i="17"/>
  <c r="P384" i="18"/>
  <c r="P37" i="17" s="1"/>
  <c r="D25" i="17"/>
  <c r="P376" i="18"/>
  <c r="P25" i="17" s="1"/>
  <c r="D57" i="17"/>
  <c r="P399" i="18"/>
  <c r="P57" i="17" s="1"/>
  <c r="E108" i="17"/>
  <c r="M108" i="17"/>
  <c r="G108" i="17"/>
  <c r="H108" i="17"/>
  <c r="P178" i="18"/>
  <c r="P122" i="17" s="1"/>
  <c r="P121" i="17" s="1"/>
  <c r="O165" i="18"/>
  <c r="O110" i="17" s="1"/>
  <c r="D410" i="18"/>
  <c r="P165" i="18"/>
  <c r="P110" i="17" s="1"/>
  <c r="O169" i="18"/>
  <c r="O116" i="17" s="1"/>
  <c r="O115" i="17" s="1"/>
  <c r="P169" i="18"/>
  <c r="P116" i="17" s="1"/>
  <c r="P115" i="17" s="1"/>
  <c r="L410" i="18"/>
  <c r="O167" i="18"/>
  <c r="O112" i="17" s="1"/>
  <c r="O111" i="17" s="1"/>
  <c r="O175" i="18"/>
  <c r="O120" i="17" s="1"/>
  <c r="O119" i="17" s="1"/>
  <c r="P167" i="18"/>
  <c r="P112" i="17" s="1"/>
  <c r="P111" i="17" s="1"/>
  <c r="P171" i="18"/>
  <c r="P114" i="17" s="1"/>
  <c r="P113" i="17" s="1"/>
  <c r="F194" i="18"/>
  <c r="N194" i="18"/>
  <c r="P173" i="18"/>
  <c r="P118" i="17" s="1"/>
  <c r="P117" i="17" s="1"/>
  <c r="H194" i="18"/>
  <c r="E410" i="18"/>
  <c r="M410" i="18"/>
  <c r="J194" i="18"/>
  <c r="P175" i="18"/>
  <c r="P120" i="17" s="1"/>
  <c r="P119" i="17" s="1"/>
  <c r="F410" i="18"/>
  <c r="N410" i="18"/>
  <c r="C194" i="18"/>
  <c r="K194" i="18"/>
  <c r="O163" i="18"/>
  <c r="O107" i="17" s="1"/>
  <c r="O106" i="17" s="1"/>
  <c r="O171" i="18"/>
  <c r="O114" i="17" s="1"/>
  <c r="O113" i="17" s="1"/>
  <c r="I194" i="18"/>
  <c r="G410" i="18"/>
  <c r="P163" i="18"/>
  <c r="P107" i="17" s="1"/>
  <c r="P106" i="17" s="1"/>
  <c r="P181" i="18"/>
  <c r="P124" i="17" s="1"/>
  <c r="P123" i="17" s="1"/>
  <c r="H410" i="18"/>
  <c r="M194" i="18"/>
  <c r="O173" i="18"/>
  <c r="O118" i="17" s="1"/>
  <c r="O117" i="17" s="1"/>
  <c r="I410" i="18"/>
  <c r="D194" i="18"/>
  <c r="L194" i="18"/>
  <c r="J410" i="18"/>
  <c r="G194" i="18"/>
  <c r="O178" i="18"/>
  <c r="O122" i="17" s="1"/>
  <c r="O121" i="17" s="1"/>
  <c r="C410" i="18"/>
  <c r="K410" i="18"/>
  <c r="O153" i="18"/>
  <c r="O17" i="17" s="1"/>
  <c r="P153" i="18"/>
  <c r="P17" i="17" s="1"/>
  <c r="P410" i="18" l="1"/>
  <c r="O194" i="18"/>
  <c r="P194" i="18"/>
  <c r="N266" i="18"/>
  <c r="N131" i="17" s="1"/>
  <c r="N130" i="17" s="1"/>
  <c r="M266" i="18"/>
  <c r="M131" i="17" s="1"/>
  <c r="M130" i="17" s="1"/>
  <c r="L266" i="18"/>
  <c r="L131" i="17" s="1"/>
  <c r="L130" i="17" s="1"/>
  <c r="K266" i="18"/>
  <c r="K131" i="17" s="1"/>
  <c r="K130" i="17" s="1"/>
  <c r="J266" i="18"/>
  <c r="J131" i="17" s="1"/>
  <c r="J130" i="17" s="1"/>
  <c r="I266" i="18"/>
  <c r="I131" i="17" s="1"/>
  <c r="I130" i="17" s="1"/>
  <c r="H266" i="18"/>
  <c r="H131" i="17" s="1"/>
  <c r="H130" i="17" s="1"/>
  <c r="G266" i="18"/>
  <c r="G131" i="17" s="1"/>
  <c r="G130" i="17" s="1"/>
  <c r="F266" i="18"/>
  <c r="F131" i="17" s="1"/>
  <c r="F130" i="17" s="1"/>
  <c r="E266" i="18"/>
  <c r="E131" i="17" s="1"/>
  <c r="E130" i="17" s="1"/>
  <c r="D266" i="18"/>
  <c r="D131" i="17" s="1"/>
  <c r="D130" i="17" s="1"/>
  <c r="C266" i="18"/>
  <c r="C131" i="17" s="1"/>
  <c r="C130" i="17" s="1"/>
  <c r="O268" i="18"/>
  <c r="P268" i="18"/>
  <c r="P267" i="18"/>
  <c r="O267" i="18"/>
  <c r="O263" i="18"/>
  <c r="P263" i="18"/>
  <c r="O264" i="18"/>
  <c r="P264" i="18"/>
  <c r="O265" i="18"/>
  <c r="P265" i="18"/>
  <c r="P262" i="18"/>
  <c r="O262" i="18"/>
  <c r="N261" i="18"/>
  <c r="M261" i="18"/>
  <c r="L261" i="18"/>
  <c r="L19" i="17" s="1"/>
  <c r="K261" i="18"/>
  <c r="K19" i="17" s="1"/>
  <c r="J261" i="18"/>
  <c r="J19" i="17" s="1"/>
  <c r="I261" i="18"/>
  <c r="I19" i="17" s="1"/>
  <c r="H261" i="18"/>
  <c r="H19" i="17" s="1"/>
  <c r="G261" i="18"/>
  <c r="G19" i="17" s="1"/>
  <c r="F261" i="18"/>
  <c r="E261" i="18"/>
  <c r="D261" i="18"/>
  <c r="D19" i="17" s="1"/>
  <c r="C261" i="18"/>
  <c r="C19" i="17" s="1"/>
  <c r="O37" i="18"/>
  <c r="P37" i="18"/>
  <c r="O67" i="18"/>
  <c r="P67" i="18"/>
  <c r="O68" i="18"/>
  <c r="P68" i="18"/>
  <c r="E269" i="18" l="1"/>
  <c r="E19" i="17"/>
  <c r="F269" i="18"/>
  <c r="F19" i="17"/>
  <c r="N269" i="18"/>
  <c r="N19" i="17"/>
  <c r="M269" i="18"/>
  <c r="M19" i="17"/>
  <c r="D269" i="18"/>
  <c r="L269" i="18"/>
  <c r="C269" i="18"/>
  <c r="K269" i="18"/>
  <c r="J269" i="18"/>
  <c r="H269" i="18"/>
  <c r="I269" i="18"/>
  <c r="P266" i="18"/>
  <c r="P131" i="17" s="1"/>
  <c r="P130" i="17" s="1"/>
  <c r="O266" i="18"/>
  <c r="O131" i="17" s="1"/>
  <c r="O130" i="17" s="1"/>
  <c r="G269" i="18"/>
  <c r="O261" i="18"/>
  <c r="O19" i="17" s="1"/>
  <c r="P261" i="18"/>
  <c r="P19" i="17" s="1"/>
  <c r="O269" i="18" l="1"/>
  <c r="P269" i="18"/>
  <c r="O373" i="18"/>
  <c r="N255" i="18"/>
  <c r="N102" i="17" s="1"/>
  <c r="N101" i="17" s="1"/>
  <c r="M255" i="18"/>
  <c r="M102" i="17" s="1"/>
  <c r="M101" i="17" s="1"/>
  <c r="L255" i="18"/>
  <c r="L102" i="17" s="1"/>
  <c r="L101" i="17" s="1"/>
  <c r="K255" i="18"/>
  <c r="K102" i="17" s="1"/>
  <c r="K101" i="17" s="1"/>
  <c r="J255" i="18"/>
  <c r="J102" i="17" s="1"/>
  <c r="J101" i="17" s="1"/>
  <c r="I255" i="18"/>
  <c r="I102" i="17" s="1"/>
  <c r="I101" i="17" s="1"/>
  <c r="H255" i="18"/>
  <c r="H102" i="17" s="1"/>
  <c r="H101" i="17" s="1"/>
  <c r="G255" i="18"/>
  <c r="G102" i="17" s="1"/>
  <c r="G101" i="17" s="1"/>
  <c r="F255" i="18"/>
  <c r="F102" i="17" s="1"/>
  <c r="F101" i="17" s="1"/>
  <c r="E255" i="18"/>
  <c r="E102" i="17" s="1"/>
  <c r="E101" i="17" s="1"/>
  <c r="D255" i="18"/>
  <c r="D102" i="17" s="1"/>
  <c r="D101" i="17" s="1"/>
  <c r="C255" i="18"/>
  <c r="C102" i="17" s="1"/>
  <c r="C101" i="17" s="1"/>
  <c r="N250" i="18"/>
  <c r="N96" i="17" s="1"/>
  <c r="N95" i="17" s="1"/>
  <c r="M250" i="18"/>
  <c r="M96" i="17" s="1"/>
  <c r="M95" i="17" s="1"/>
  <c r="L250" i="18"/>
  <c r="L96" i="17" s="1"/>
  <c r="L95" i="17" s="1"/>
  <c r="K250" i="18"/>
  <c r="K96" i="17" s="1"/>
  <c r="K95" i="17" s="1"/>
  <c r="J250" i="18"/>
  <c r="J96" i="17" s="1"/>
  <c r="J95" i="17" s="1"/>
  <c r="I250" i="18"/>
  <c r="I96" i="17" s="1"/>
  <c r="I95" i="17" s="1"/>
  <c r="H250" i="18"/>
  <c r="H96" i="17" s="1"/>
  <c r="H95" i="17" s="1"/>
  <c r="G250" i="18"/>
  <c r="G96" i="17" s="1"/>
  <c r="G95" i="17" s="1"/>
  <c r="F250" i="18"/>
  <c r="F96" i="17" s="1"/>
  <c r="F95" i="17" s="1"/>
  <c r="E250" i="18"/>
  <c r="E96" i="17" s="1"/>
  <c r="E95" i="17" s="1"/>
  <c r="D250" i="18"/>
  <c r="D96" i="17" s="1"/>
  <c r="D95" i="17" s="1"/>
  <c r="C250" i="18"/>
  <c r="C96" i="17" s="1"/>
  <c r="C95" i="17" s="1"/>
  <c r="N228" i="18"/>
  <c r="N134" i="17" s="1"/>
  <c r="N132" i="17" s="1"/>
  <c r="M228" i="18"/>
  <c r="M134" i="17" s="1"/>
  <c r="M132" i="17" s="1"/>
  <c r="L228" i="18"/>
  <c r="L134" i="17" s="1"/>
  <c r="L132" i="17" s="1"/>
  <c r="K228" i="18"/>
  <c r="K134" i="17" s="1"/>
  <c r="K132" i="17" s="1"/>
  <c r="J228" i="18"/>
  <c r="J134" i="17" s="1"/>
  <c r="J132" i="17" s="1"/>
  <c r="I228" i="18"/>
  <c r="I134" i="17" s="1"/>
  <c r="I132" i="17" s="1"/>
  <c r="H228" i="18"/>
  <c r="H134" i="17" s="1"/>
  <c r="H132" i="17" s="1"/>
  <c r="G228" i="18"/>
  <c r="G134" i="17" s="1"/>
  <c r="G132" i="17" s="1"/>
  <c r="F228" i="18"/>
  <c r="F134" i="17" s="1"/>
  <c r="F132" i="17" s="1"/>
  <c r="E228" i="18"/>
  <c r="E134" i="17" s="1"/>
  <c r="E132" i="17" s="1"/>
  <c r="D228" i="18"/>
  <c r="D134" i="17" s="1"/>
  <c r="C228" i="18"/>
  <c r="C134" i="17" s="1"/>
  <c r="D223" i="18"/>
  <c r="D129" i="17" s="1"/>
  <c r="D128" i="17" s="1"/>
  <c r="C223" i="18"/>
  <c r="C129" i="17" s="1"/>
  <c r="C128" i="17" s="1"/>
  <c r="N218" i="18"/>
  <c r="N127" i="17" s="1"/>
  <c r="N125" i="17" s="1"/>
  <c r="M218" i="18"/>
  <c r="M127" i="17" s="1"/>
  <c r="M125" i="17" s="1"/>
  <c r="L218" i="18"/>
  <c r="L127" i="17" s="1"/>
  <c r="L125" i="17" s="1"/>
  <c r="K218" i="18"/>
  <c r="K127" i="17" s="1"/>
  <c r="K125" i="17" s="1"/>
  <c r="J218" i="18"/>
  <c r="J127" i="17" s="1"/>
  <c r="J125" i="17" s="1"/>
  <c r="I218" i="18"/>
  <c r="I127" i="17" s="1"/>
  <c r="I125" i="17" s="1"/>
  <c r="H218" i="18"/>
  <c r="H127" i="17" s="1"/>
  <c r="H125" i="17" s="1"/>
  <c r="G218" i="18"/>
  <c r="G127" i="17" s="1"/>
  <c r="G125" i="17" s="1"/>
  <c r="F218" i="18"/>
  <c r="F127" i="17" s="1"/>
  <c r="F125" i="17" s="1"/>
  <c r="E218" i="18"/>
  <c r="E127" i="17" s="1"/>
  <c r="E125" i="17" s="1"/>
  <c r="D218" i="18"/>
  <c r="D127" i="17" s="1"/>
  <c r="D125" i="17" s="1"/>
  <c r="C218" i="18"/>
  <c r="C127" i="17" s="1"/>
  <c r="C125" i="17" s="1"/>
  <c r="N196" i="18"/>
  <c r="M196" i="18"/>
  <c r="L196" i="18"/>
  <c r="K196" i="18"/>
  <c r="J196" i="18"/>
  <c r="I196" i="18"/>
  <c r="H196" i="18"/>
  <c r="G196" i="18"/>
  <c r="F196" i="18"/>
  <c r="E196" i="18"/>
  <c r="D196" i="18"/>
  <c r="C196" i="18"/>
  <c r="E259" i="18" l="1"/>
  <c r="D18" i="17"/>
  <c r="D259" i="18"/>
  <c r="M18" i="17"/>
  <c r="M259" i="18"/>
  <c r="N18" i="17"/>
  <c r="N259" i="18"/>
  <c r="F18" i="17"/>
  <c r="F259" i="18"/>
  <c r="H18" i="17"/>
  <c r="H259" i="18"/>
  <c r="I18" i="17"/>
  <c r="I259" i="18"/>
  <c r="L18" i="17"/>
  <c r="L259" i="18"/>
  <c r="J18" i="17"/>
  <c r="J259" i="18"/>
  <c r="G18" i="17"/>
  <c r="G259" i="18"/>
  <c r="C18" i="17"/>
  <c r="C259" i="18"/>
  <c r="K18" i="17"/>
  <c r="K259" i="18"/>
  <c r="E18" i="17"/>
  <c r="N140" i="18"/>
  <c r="N63" i="17" s="1"/>
  <c r="N62" i="17" s="1"/>
  <c r="M140" i="18"/>
  <c r="M63" i="17" s="1"/>
  <c r="M62" i="17" s="1"/>
  <c r="L140" i="18"/>
  <c r="L63" i="17" s="1"/>
  <c r="L62" i="17" s="1"/>
  <c r="K140" i="18"/>
  <c r="K63" i="17" s="1"/>
  <c r="K62" i="17" s="1"/>
  <c r="J140" i="18"/>
  <c r="J63" i="17" s="1"/>
  <c r="J62" i="17" s="1"/>
  <c r="I140" i="18"/>
  <c r="I63" i="17" s="1"/>
  <c r="I62" i="17" s="1"/>
  <c r="H140" i="18"/>
  <c r="H63" i="17" s="1"/>
  <c r="H62" i="17" s="1"/>
  <c r="G140" i="18"/>
  <c r="G63" i="17" s="1"/>
  <c r="G62" i="17" s="1"/>
  <c r="F140" i="18"/>
  <c r="F63" i="17" s="1"/>
  <c r="F62" i="17" s="1"/>
  <c r="E140" i="18"/>
  <c r="E63" i="17" s="1"/>
  <c r="E62" i="17" s="1"/>
  <c r="D140" i="18"/>
  <c r="D63" i="17" s="1"/>
  <c r="D62" i="17" s="1"/>
  <c r="C140" i="18"/>
  <c r="C63" i="17" s="1"/>
  <c r="C62" i="17" s="1"/>
  <c r="N134" i="18"/>
  <c r="N59" i="17" s="1"/>
  <c r="N58" i="17" s="1"/>
  <c r="M134" i="18"/>
  <c r="M59" i="17" s="1"/>
  <c r="M58" i="17" s="1"/>
  <c r="L134" i="18"/>
  <c r="L59" i="17" s="1"/>
  <c r="L58" i="17" s="1"/>
  <c r="K134" i="18"/>
  <c r="K59" i="17" s="1"/>
  <c r="K58" i="17" s="1"/>
  <c r="J134" i="18"/>
  <c r="J59" i="17" s="1"/>
  <c r="J58" i="17" s="1"/>
  <c r="I134" i="18"/>
  <c r="I59" i="17" s="1"/>
  <c r="I58" i="17" s="1"/>
  <c r="H134" i="18"/>
  <c r="H59" i="17" s="1"/>
  <c r="H58" i="17" s="1"/>
  <c r="G134" i="18"/>
  <c r="G59" i="17" s="1"/>
  <c r="G58" i="17" s="1"/>
  <c r="F134" i="18"/>
  <c r="F59" i="17" s="1"/>
  <c r="F58" i="17" s="1"/>
  <c r="E134" i="18"/>
  <c r="E59" i="17" s="1"/>
  <c r="E58" i="17" s="1"/>
  <c r="D134" i="18"/>
  <c r="D59" i="17" s="1"/>
  <c r="D58" i="17" s="1"/>
  <c r="C134" i="18"/>
  <c r="C59" i="17" s="1"/>
  <c r="C58" i="17" s="1"/>
  <c r="N127" i="18"/>
  <c r="N55" i="17" s="1"/>
  <c r="N54" i="17" s="1"/>
  <c r="M127" i="18"/>
  <c r="M55" i="17" s="1"/>
  <c r="M54" i="17" s="1"/>
  <c r="L127" i="18"/>
  <c r="L55" i="17" s="1"/>
  <c r="L54" i="17" s="1"/>
  <c r="K127" i="18"/>
  <c r="K55" i="17" s="1"/>
  <c r="K54" i="17" s="1"/>
  <c r="J127" i="18"/>
  <c r="J55" i="17" s="1"/>
  <c r="J54" i="17" s="1"/>
  <c r="I127" i="18"/>
  <c r="I55" i="17" s="1"/>
  <c r="I54" i="17" s="1"/>
  <c r="H127" i="18"/>
  <c r="H55" i="17" s="1"/>
  <c r="H54" i="17" s="1"/>
  <c r="G127" i="18"/>
  <c r="G55" i="17" s="1"/>
  <c r="G54" i="17" s="1"/>
  <c r="F127" i="18"/>
  <c r="F55" i="17" s="1"/>
  <c r="F54" i="17" s="1"/>
  <c r="E127" i="18"/>
  <c r="E55" i="17" s="1"/>
  <c r="E54" i="17" s="1"/>
  <c r="D127" i="18"/>
  <c r="D55" i="17" s="1"/>
  <c r="D54" i="17" s="1"/>
  <c r="C127" i="18"/>
  <c r="C55" i="17" s="1"/>
  <c r="C54" i="17" s="1"/>
  <c r="N122" i="18"/>
  <c r="N51" i="17" s="1"/>
  <c r="N50" i="17" s="1"/>
  <c r="M122" i="18"/>
  <c r="M51" i="17" s="1"/>
  <c r="M50" i="17" s="1"/>
  <c r="L122" i="18"/>
  <c r="L51" i="17" s="1"/>
  <c r="L50" i="17" s="1"/>
  <c r="K122" i="18"/>
  <c r="K51" i="17" s="1"/>
  <c r="K50" i="17" s="1"/>
  <c r="J122" i="18"/>
  <c r="J51" i="17" s="1"/>
  <c r="J50" i="17" s="1"/>
  <c r="I122" i="18"/>
  <c r="I51" i="17" s="1"/>
  <c r="I50" i="17" s="1"/>
  <c r="H122" i="18"/>
  <c r="H51" i="17" s="1"/>
  <c r="H50" i="17" s="1"/>
  <c r="G122" i="18"/>
  <c r="G51" i="17" s="1"/>
  <c r="G50" i="17" s="1"/>
  <c r="F122" i="18"/>
  <c r="F51" i="17" s="1"/>
  <c r="F50" i="17" s="1"/>
  <c r="E122" i="18"/>
  <c r="E51" i="17" s="1"/>
  <c r="E50" i="17" s="1"/>
  <c r="D122" i="18"/>
  <c r="D51" i="17" s="1"/>
  <c r="D50" i="17" s="1"/>
  <c r="C122" i="18"/>
  <c r="C51" i="17" s="1"/>
  <c r="C50" i="17" s="1"/>
  <c r="N114" i="18"/>
  <c r="N47" i="17" s="1"/>
  <c r="N46" i="17" s="1"/>
  <c r="M114" i="18"/>
  <c r="M47" i="17" s="1"/>
  <c r="M46" i="17" s="1"/>
  <c r="L114" i="18"/>
  <c r="L47" i="17" s="1"/>
  <c r="L46" i="17" s="1"/>
  <c r="K114" i="18"/>
  <c r="K47" i="17" s="1"/>
  <c r="K46" i="17" s="1"/>
  <c r="J114" i="18"/>
  <c r="J47" i="17" s="1"/>
  <c r="J46" i="17" s="1"/>
  <c r="I114" i="18"/>
  <c r="I47" i="17" s="1"/>
  <c r="I46" i="17" s="1"/>
  <c r="H114" i="18"/>
  <c r="H47" i="17" s="1"/>
  <c r="H46" i="17" s="1"/>
  <c r="G114" i="18"/>
  <c r="G47" i="17" s="1"/>
  <c r="G46" i="17" s="1"/>
  <c r="F114" i="18"/>
  <c r="F47" i="17" s="1"/>
  <c r="F46" i="17" s="1"/>
  <c r="E114" i="18"/>
  <c r="E47" i="17" s="1"/>
  <c r="E46" i="17" s="1"/>
  <c r="D114" i="18"/>
  <c r="D47" i="17" s="1"/>
  <c r="D46" i="17" s="1"/>
  <c r="C114" i="18"/>
  <c r="C47" i="17" s="1"/>
  <c r="C46" i="17" s="1"/>
  <c r="N105" i="18"/>
  <c r="N43" i="17" s="1"/>
  <c r="N42" i="17" s="1"/>
  <c r="M105" i="18"/>
  <c r="M43" i="17" s="1"/>
  <c r="M42" i="17" s="1"/>
  <c r="L105" i="18"/>
  <c r="L43" i="17" s="1"/>
  <c r="L42" i="17" s="1"/>
  <c r="K105" i="18"/>
  <c r="K43" i="17" s="1"/>
  <c r="K42" i="17" s="1"/>
  <c r="J105" i="18"/>
  <c r="J43" i="17" s="1"/>
  <c r="J42" i="17" s="1"/>
  <c r="I105" i="18"/>
  <c r="I43" i="17" s="1"/>
  <c r="I42" i="17" s="1"/>
  <c r="H105" i="18"/>
  <c r="H43" i="17" s="1"/>
  <c r="H42" i="17" s="1"/>
  <c r="G105" i="18"/>
  <c r="G43" i="17" s="1"/>
  <c r="G42" i="17" s="1"/>
  <c r="F105" i="18"/>
  <c r="F43" i="17" s="1"/>
  <c r="F42" i="17" s="1"/>
  <c r="E105" i="18"/>
  <c r="E43" i="17" s="1"/>
  <c r="E42" i="17" s="1"/>
  <c r="D105" i="18"/>
  <c r="D43" i="17" s="1"/>
  <c r="D42" i="17" s="1"/>
  <c r="C105" i="18"/>
  <c r="C43" i="17" s="1"/>
  <c r="C42" i="17" s="1"/>
  <c r="N97" i="18"/>
  <c r="N39" i="17" s="1"/>
  <c r="N38" i="17" s="1"/>
  <c r="M97" i="18"/>
  <c r="M39" i="17" s="1"/>
  <c r="M38" i="17" s="1"/>
  <c r="L97" i="18"/>
  <c r="L39" i="17" s="1"/>
  <c r="L38" i="17" s="1"/>
  <c r="K97" i="18"/>
  <c r="K39" i="17" s="1"/>
  <c r="K38" i="17" s="1"/>
  <c r="J97" i="18"/>
  <c r="J39" i="17" s="1"/>
  <c r="J38" i="17" s="1"/>
  <c r="I97" i="18"/>
  <c r="I39" i="17" s="1"/>
  <c r="I38" i="17" s="1"/>
  <c r="H97" i="18"/>
  <c r="H39" i="17" s="1"/>
  <c r="H38" i="17" s="1"/>
  <c r="G97" i="18"/>
  <c r="G39" i="17" s="1"/>
  <c r="G38" i="17" s="1"/>
  <c r="F97" i="18"/>
  <c r="F39" i="17" s="1"/>
  <c r="F38" i="17" s="1"/>
  <c r="E97" i="18"/>
  <c r="E39" i="17" s="1"/>
  <c r="E38" i="17" s="1"/>
  <c r="D97" i="18"/>
  <c r="D39" i="17" s="1"/>
  <c r="D38" i="17" s="1"/>
  <c r="C97" i="18"/>
  <c r="C39" i="17" s="1"/>
  <c r="C38" i="17" s="1"/>
  <c r="N90" i="18"/>
  <c r="N35" i="17" s="1"/>
  <c r="N34" i="17" s="1"/>
  <c r="M90" i="18"/>
  <c r="M35" i="17" s="1"/>
  <c r="M34" i="17" s="1"/>
  <c r="L90" i="18"/>
  <c r="L35" i="17" s="1"/>
  <c r="L34" i="17" s="1"/>
  <c r="K90" i="18"/>
  <c r="K35" i="17" s="1"/>
  <c r="K34" i="17" s="1"/>
  <c r="J90" i="18"/>
  <c r="J35" i="17" s="1"/>
  <c r="J34" i="17" s="1"/>
  <c r="I90" i="18"/>
  <c r="I35" i="17" s="1"/>
  <c r="I34" i="17" s="1"/>
  <c r="H90" i="18"/>
  <c r="H35" i="17" s="1"/>
  <c r="H34" i="17" s="1"/>
  <c r="G90" i="18"/>
  <c r="G35" i="17" s="1"/>
  <c r="G34" i="17" s="1"/>
  <c r="F90" i="18"/>
  <c r="F35" i="17" s="1"/>
  <c r="F34" i="17" s="1"/>
  <c r="E90" i="18"/>
  <c r="E35" i="17" s="1"/>
  <c r="E34" i="17" s="1"/>
  <c r="D90" i="18"/>
  <c r="D35" i="17" s="1"/>
  <c r="D34" i="17" s="1"/>
  <c r="C90" i="18"/>
  <c r="C35" i="17" s="1"/>
  <c r="C34" i="17" s="1"/>
  <c r="N83" i="18"/>
  <c r="N31" i="17" s="1"/>
  <c r="N30" i="17" s="1"/>
  <c r="M83" i="18"/>
  <c r="M31" i="17" s="1"/>
  <c r="M30" i="17" s="1"/>
  <c r="L83" i="18"/>
  <c r="L31" i="17" s="1"/>
  <c r="L30" i="17" s="1"/>
  <c r="K83" i="18"/>
  <c r="K31" i="17" s="1"/>
  <c r="K30" i="17" s="1"/>
  <c r="J83" i="18"/>
  <c r="J31" i="17" s="1"/>
  <c r="J30" i="17" s="1"/>
  <c r="I83" i="18"/>
  <c r="I31" i="17" s="1"/>
  <c r="I30" i="17" s="1"/>
  <c r="H83" i="18"/>
  <c r="H31" i="17" s="1"/>
  <c r="H30" i="17" s="1"/>
  <c r="G83" i="18"/>
  <c r="G31" i="17" s="1"/>
  <c r="G30" i="17" s="1"/>
  <c r="F83" i="18"/>
  <c r="F31" i="17" s="1"/>
  <c r="F30" i="17" s="1"/>
  <c r="E83" i="18"/>
  <c r="E31" i="17" s="1"/>
  <c r="E30" i="17" s="1"/>
  <c r="D83" i="18"/>
  <c r="D31" i="17" s="1"/>
  <c r="D30" i="17" s="1"/>
  <c r="C83" i="18"/>
  <c r="C31" i="17" s="1"/>
  <c r="C30" i="17" s="1"/>
  <c r="N76" i="18"/>
  <c r="N27" i="17" s="1"/>
  <c r="N26" i="17" s="1"/>
  <c r="M76" i="18"/>
  <c r="M27" i="17" s="1"/>
  <c r="M26" i="17" s="1"/>
  <c r="L76" i="18"/>
  <c r="L27" i="17" s="1"/>
  <c r="L26" i="17" s="1"/>
  <c r="K76" i="18"/>
  <c r="K27" i="17" s="1"/>
  <c r="K26" i="17" s="1"/>
  <c r="J76" i="18"/>
  <c r="J27" i="17" s="1"/>
  <c r="J26" i="17" s="1"/>
  <c r="I76" i="18"/>
  <c r="I27" i="17" s="1"/>
  <c r="I26" i="17" s="1"/>
  <c r="H76" i="18"/>
  <c r="H27" i="17" s="1"/>
  <c r="H26" i="17" s="1"/>
  <c r="G76" i="18"/>
  <c r="G27" i="17" s="1"/>
  <c r="G26" i="17" s="1"/>
  <c r="F76" i="18"/>
  <c r="F27" i="17" s="1"/>
  <c r="F26" i="17" s="1"/>
  <c r="E76" i="18"/>
  <c r="E27" i="17" s="1"/>
  <c r="E26" i="17" s="1"/>
  <c r="D76" i="18"/>
  <c r="D27" i="17" s="1"/>
  <c r="D26" i="17" s="1"/>
  <c r="C76" i="18"/>
  <c r="C27" i="17" s="1"/>
  <c r="C26" i="17" s="1"/>
  <c r="N69" i="18"/>
  <c r="N23" i="17" s="1"/>
  <c r="N22" i="17" s="1"/>
  <c r="M69" i="18"/>
  <c r="M23" i="17" s="1"/>
  <c r="M22" i="17" s="1"/>
  <c r="L69" i="18"/>
  <c r="L23" i="17" s="1"/>
  <c r="L22" i="17" s="1"/>
  <c r="K69" i="18"/>
  <c r="K23" i="17" s="1"/>
  <c r="K22" i="17" s="1"/>
  <c r="J69" i="18"/>
  <c r="J23" i="17" s="1"/>
  <c r="J22" i="17" s="1"/>
  <c r="I69" i="18"/>
  <c r="I23" i="17" s="1"/>
  <c r="I22" i="17" s="1"/>
  <c r="H69" i="18"/>
  <c r="H23" i="17" s="1"/>
  <c r="H22" i="17" s="1"/>
  <c r="G69" i="18"/>
  <c r="G23" i="17" s="1"/>
  <c r="G22" i="17" s="1"/>
  <c r="F69" i="18"/>
  <c r="F23" i="17" s="1"/>
  <c r="F22" i="17" s="1"/>
  <c r="E69" i="18"/>
  <c r="E23" i="17" s="1"/>
  <c r="E22" i="17" s="1"/>
  <c r="D69" i="18"/>
  <c r="D23" i="17" s="1"/>
  <c r="D22" i="17" s="1"/>
  <c r="C69" i="18"/>
  <c r="N36" i="18"/>
  <c r="M36" i="18"/>
  <c r="L36" i="18"/>
  <c r="K36" i="18"/>
  <c r="J36" i="18"/>
  <c r="I36" i="18"/>
  <c r="H36" i="18"/>
  <c r="G36" i="18"/>
  <c r="F36" i="18"/>
  <c r="E36" i="18"/>
  <c r="D36" i="18"/>
  <c r="D16" i="17" s="1"/>
  <c r="D14" i="17" s="1"/>
  <c r="D34" i="18"/>
  <c r="C34" i="18"/>
  <c r="O18" i="18"/>
  <c r="P18" i="18"/>
  <c r="O19" i="18"/>
  <c r="P19" i="18"/>
  <c r="O20" i="18"/>
  <c r="P20" i="18"/>
  <c r="O21" i="18"/>
  <c r="P21" i="18"/>
  <c r="O22" i="18"/>
  <c r="P22" i="18"/>
  <c r="O23" i="18"/>
  <c r="P23" i="18"/>
  <c r="O25" i="18"/>
  <c r="P25" i="18"/>
  <c r="O27" i="18"/>
  <c r="P27" i="18"/>
  <c r="O28" i="18"/>
  <c r="P28" i="18"/>
  <c r="O30" i="18"/>
  <c r="P30" i="18"/>
  <c r="O31" i="18"/>
  <c r="P31" i="18"/>
  <c r="P15" i="18"/>
  <c r="O15" i="18"/>
  <c r="O275" i="18"/>
  <c r="P275" i="18"/>
  <c r="O276" i="18"/>
  <c r="P276" i="18"/>
  <c r="O277" i="18"/>
  <c r="P277" i="18"/>
  <c r="O278" i="18"/>
  <c r="P278" i="18"/>
  <c r="O279" i="18"/>
  <c r="P279" i="18"/>
  <c r="O280" i="18"/>
  <c r="P280" i="18"/>
  <c r="O281" i="18"/>
  <c r="P281" i="18"/>
  <c r="O282" i="18"/>
  <c r="P282" i="18"/>
  <c r="O283" i="18"/>
  <c r="P283" i="18"/>
  <c r="O285" i="18"/>
  <c r="P285" i="18"/>
  <c r="O286" i="18"/>
  <c r="P286" i="18"/>
  <c r="O287" i="18"/>
  <c r="P287" i="18"/>
  <c r="O289" i="18"/>
  <c r="P289" i="18"/>
  <c r="O290" i="18"/>
  <c r="P290" i="18"/>
  <c r="O291" i="18"/>
  <c r="P291" i="18"/>
  <c r="O293" i="18"/>
  <c r="P293" i="18"/>
  <c r="O294" i="18"/>
  <c r="P294" i="18"/>
  <c r="O295" i="18"/>
  <c r="P295" i="18"/>
  <c r="O297" i="18"/>
  <c r="P297" i="18"/>
  <c r="O298" i="18"/>
  <c r="P298" i="18"/>
  <c r="O299" i="18"/>
  <c r="P299" i="18"/>
  <c r="O301" i="18"/>
  <c r="P301" i="18"/>
  <c r="O302" i="18"/>
  <c r="P302" i="18"/>
  <c r="O303" i="18"/>
  <c r="P303" i="18"/>
  <c r="O305" i="18"/>
  <c r="P305" i="18"/>
  <c r="O306" i="18"/>
  <c r="P306" i="18"/>
  <c r="O307" i="18"/>
  <c r="P307" i="18"/>
  <c r="O309" i="18"/>
  <c r="P309" i="18"/>
  <c r="O310" i="18"/>
  <c r="P310" i="18"/>
  <c r="O311" i="18"/>
  <c r="P311" i="18"/>
  <c r="O313" i="18"/>
  <c r="P313" i="18"/>
  <c r="O314" i="18"/>
  <c r="P314" i="18"/>
  <c r="O315" i="18"/>
  <c r="P315" i="18"/>
  <c r="O317" i="18"/>
  <c r="P317" i="18"/>
  <c r="O318" i="18"/>
  <c r="P318" i="18"/>
  <c r="O319" i="18"/>
  <c r="P319" i="18"/>
  <c r="O321" i="18"/>
  <c r="P321" i="18"/>
  <c r="O322" i="18"/>
  <c r="P322" i="18"/>
  <c r="O324" i="18"/>
  <c r="P324" i="18"/>
  <c r="O325" i="18"/>
  <c r="P325" i="18"/>
  <c r="O326" i="18"/>
  <c r="P326" i="18"/>
  <c r="O328" i="18"/>
  <c r="P328" i="18"/>
  <c r="O329" i="18"/>
  <c r="P329" i="18"/>
  <c r="O330" i="18"/>
  <c r="P330" i="18"/>
  <c r="O332" i="18"/>
  <c r="P332" i="18"/>
  <c r="O333" i="18"/>
  <c r="P333" i="18"/>
  <c r="O335" i="18"/>
  <c r="P335" i="18"/>
  <c r="O337" i="18"/>
  <c r="P337" i="18"/>
  <c r="O338" i="18"/>
  <c r="P338" i="18"/>
  <c r="O339" i="18"/>
  <c r="P339" i="18"/>
  <c r="O273" i="18"/>
  <c r="P273" i="18"/>
  <c r="O274" i="18"/>
  <c r="P274" i="18"/>
  <c r="P272" i="18"/>
  <c r="O272" i="18"/>
  <c r="O198" i="18"/>
  <c r="P198" i="18"/>
  <c r="O199" i="18"/>
  <c r="P199" i="18"/>
  <c r="O200" i="18"/>
  <c r="P200" i="18"/>
  <c r="O201" i="18"/>
  <c r="P201" i="18"/>
  <c r="O202" i="18"/>
  <c r="P202" i="18"/>
  <c r="O203" i="18"/>
  <c r="P203" i="18"/>
  <c r="O204" i="18"/>
  <c r="P204" i="18"/>
  <c r="O205" i="18"/>
  <c r="P205" i="18"/>
  <c r="O206" i="18"/>
  <c r="P206" i="18"/>
  <c r="O207" i="18"/>
  <c r="P207" i="18"/>
  <c r="O208" i="18"/>
  <c r="P208" i="18"/>
  <c r="O209" i="18"/>
  <c r="P209" i="18"/>
  <c r="O212" i="18"/>
  <c r="P212" i="18"/>
  <c r="O213" i="18"/>
  <c r="P213" i="18"/>
  <c r="O215" i="18"/>
  <c r="P215" i="18"/>
  <c r="O216" i="18"/>
  <c r="P216" i="18"/>
  <c r="O217" i="18"/>
  <c r="P217" i="18"/>
  <c r="O218" i="18"/>
  <c r="O127" i="17" s="1"/>
  <c r="P218" i="18"/>
  <c r="P127" i="17" s="1"/>
  <c r="O219" i="18"/>
  <c r="P219" i="18"/>
  <c r="O220" i="18"/>
  <c r="P220" i="18"/>
  <c r="O222" i="18"/>
  <c r="P222" i="18"/>
  <c r="O224" i="18"/>
  <c r="P224" i="18"/>
  <c r="O226" i="18"/>
  <c r="P226" i="18"/>
  <c r="O227" i="18"/>
  <c r="P227" i="18"/>
  <c r="O228" i="18"/>
  <c r="O134" i="17" s="1"/>
  <c r="P228" i="18"/>
  <c r="P134" i="17" s="1"/>
  <c r="O234" i="18"/>
  <c r="P234" i="18"/>
  <c r="O237" i="18"/>
  <c r="P237" i="18"/>
  <c r="O239" i="18"/>
  <c r="P239" i="18"/>
  <c r="O240" i="18"/>
  <c r="P240" i="18"/>
  <c r="O241" i="18"/>
  <c r="O67" i="17" s="1"/>
  <c r="P241" i="18"/>
  <c r="P67" i="17" s="1"/>
  <c r="O242" i="18"/>
  <c r="O70" i="17" s="1"/>
  <c r="P242" i="18"/>
  <c r="P70" i="17" s="1"/>
  <c r="O243" i="18"/>
  <c r="O73" i="17" s="1"/>
  <c r="P243" i="18"/>
  <c r="P73" i="17" s="1"/>
  <c r="O244" i="18"/>
  <c r="O76" i="17" s="1"/>
  <c r="P244" i="18"/>
  <c r="P76" i="17" s="1"/>
  <c r="O245" i="18"/>
  <c r="O79" i="17" s="1"/>
  <c r="P245" i="18"/>
  <c r="P79" i="17" s="1"/>
  <c r="O246" i="18"/>
  <c r="O82" i="17" s="1"/>
  <c r="P246" i="18"/>
  <c r="P82" i="17" s="1"/>
  <c r="O247" i="18"/>
  <c r="O87" i="17" s="1"/>
  <c r="P247" i="18"/>
  <c r="P87" i="17" s="1"/>
  <c r="O248" i="18"/>
  <c r="O90" i="17" s="1"/>
  <c r="P248" i="18"/>
  <c r="P90" i="17" s="1"/>
  <c r="O249" i="18"/>
  <c r="O93" i="17" s="1"/>
  <c r="P249" i="18"/>
  <c r="P93" i="17" s="1"/>
  <c r="O250" i="18"/>
  <c r="O96" i="17" s="1"/>
  <c r="P250" i="18"/>
  <c r="P96" i="17" s="1"/>
  <c r="O251" i="18"/>
  <c r="P251" i="18"/>
  <c r="O253" i="18"/>
  <c r="P253" i="18"/>
  <c r="O254" i="18"/>
  <c r="O99" i="17" s="1"/>
  <c r="P254" i="18"/>
  <c r="P99" i="17" s="1"/>
  <c r="O255" i="18"/>
  <c r="O102" i="17" s="1"/>
  <c r="P255" i="18"/>
  <c r="P102" i="17" s="1"/>
  <c r="O256" i="18"/>
  <c r="P256" i="18"/>
  <c r="O258" i="18"/>
  <c r="P258" i="18"/>
  <c r="P197" i="18"/>
  <c r="O197" i="18"/>
  <c r="P39" i="18"/>
  <c r="P40" i="18"/>
  <c r="P41" i="18"/>
  <c r="P42" i="18"/>
  <c r="P43" i="18"/>
  <c r="P44" i="18"/>
  <c r="P45" i="18"/>
  <c r="P47" i="18"/>
  <c r="P48" i="18"/>
  <c r="P49" i="18"/>
  <c r="P50" i="18"/>
  <c r="P51" i="18"/>
  <c r="P52" i="18"/>
  <c r="P53" i="18"/>
  <c r="P54" i="18"/>
  <c r="P55" i="18"/>
  <c r="P56" i="18"/>
  <c r="P57" i="18"/>
  <c r="P59" i="18"/>
  <c r="P60" i="18"/>
  <c r="P61" i="18"/>
  <c r="P62" i="18"/>
  <c r="P63" i="18"/>
  <c r="P64" i="18"/>
  <c r="P65" i="18"/>
  <c r="P66" i="18"/>
  <c r="P70" i="18"/>
  <c r="P71" i="18"/>
  <c r="P72" i="18"/>
  <c r="P73" i="18"/>
  <c r="P74" i="18"/>
  <c r="P75" i="18"/>
  <c r="P77" i="18"/>
  <c r="P78" i="18"/>
  <c r="P79" i="18"/>
  <c r="P80" i="18"/>
  <c r="P82" i="18"/>
  <c r="P84" i="18"/>
  <c r="P85" i="18"/>
  <c r="P86" i="18"/>
  <c r="P87" i="18"/>
  <c r="P88" i="18"/>
  <c r="P89" i="18"/>
  <c r="P91" i="18"/>
  <c r="P92" i="18"/>
  <c r="P93" i="18"/>
  <c r="P94" i="18"/>
  <c r="P95" i="18"/>
  <c r="P96" i="18"/>
  <c r="P98" i="18"/>
  <c r="P99" i="18"/>
  <c r="P100" i="18"/>
  <c r="P101" i="18"/>
  <c r="P102" i="18"/>
  <c r="P103" i="18"/>
  <c r="P104" i="18"/>
  <c r="P108" i="18"/>
  <c r="P109" i="18"/>
  <c r="P110" i="18"/>
  <c r="P111" i="18"/>
  <c r="P112" i="18"/>
  <c r="P113" i="18"/>
  <c r="P115" i="18"/>
  <c r="P116" i="18"/>
  <c r="P117" i="18"/>
  <c r="P118" i="18"/>
  <c r="P119" i="18"/>
  <c r="P120" i="18"/>
  <c r="P121" i="18"/>
  <c r="P125" i="18"/>
  <c r="P126" i="18"/>
  <c r="P128" i="18"/>
  <c r="P129" i="18"/>
  <c r="P130" i="18"/>
  <c r="P131" i="18"/>
  <c r="P132" i="18"/>
  <c r="P133" i="18"/>
  <c r="P135" i="18"/>
  <c r="P136" i="18"/>
  <c r="P137" i="18"/>
  <c r="P138" i="18"/>
  <c r="P139" i="18"/>
  <c r="P141" i="18"/>
  <c r="P142" i="18"/>
  <c r="P143" i="18"/>
  <c r="P144" i="18"/>
  <c r="P145" i="18"/>
  <c r="P146" i="18"/>
  <c r="P148" i="18"/>
  <c r="P147" i="18" s="1"/>
  <c r="P109" i="17" s="1"/>
  <c r="P108" i="17" s="1"/>
  <c r="P150" i="18"/>
  <c r="P35" i="18"/>
  <c r="P34" i="18" s="1"/>
  <c r="O39" i="18"/>
  <c r="O41" i="18"/>
  <c r="O42" i="18"/>
  <c r="O43" i="18"/>
  <c r="O44" i="18"/>
  <c r="O45" i="18"/>
  <c r="O47" i="18"/>
  <c r="O48" i="18"/>
  <c r="O49" i="18"/>
  <c r="O50" i="18"/>
  <c r="O51" i="18"/>
  <c r="O52" i="18"/>
  <c r="O53" i="18"/>
  <c r="O54" i="18"/>
  <c r="O55" i="18"/>
  <c r="O56" i="18"/>
  <c r="O57" i="18"/>
  <c r="O59" i="18"/>
  <c r="O60" i="18"/>
  <c r="O61" i="18"/>
  <c r="O62" i="18"/>
  <c r="O63" i="18"/>
  <c r="O64" i="18"/>
  <c r="O65" i="18"/>
  <c r="O66" i="18"/>
  <c r="O70" i="18"/>
  <c r="O71" i="18"/>
  <c r="O72" i="18"/>
  <c r="O73" i="18"/>
  <c r="O74" i="18"/>
  <c r="O75" i="18"/>
  <c r="O77" i="18"/>
  <c r="O78" i="18"/>
  <c r="O79" i="18"/>
  <c r="O80" i="18"/>
  <c r="O82" i="18"/>
  <c r="O84" i="18"/>
  <c r="O85" i="18"/>
  <c r="O86" i="18"/>
  <c r="O87" i="18"/>
  <c r="O88" i="18"/>
  <c r="O89" i="18"/>
  <c r="O91" i="18"/>
  <c r="O92" i="18"/>
  <c r="O93" i="18"/>
  <c r="O94" i="18"/>
  <c r="O95" i="18"/>
  <c r="O96" i="18"/>
  <c r="O98" i="18"/>
  <c r="O99" i="18"/>
  <c r="O100" i="18"/>
  <c r="O101" i="18"/>
  <c r="O102" i="18"/>
  <c r="O103" i="18"/>
  <c r="O104" i="18"/>
  <c r="O108" i="18"/>
  <c r="O109" i="18"/>
  <c r="O110" i="18"/>
  <c r="O111" i="18"/>
  <c r="O112" i="18"/>
  <c r="O113" i="18"/>
  <c r="O115" i="18"/>
  <c r="O116" i="18"/>
  <c r="O117" i="18"/>
  <c r="O118" i="18"/>
  <c r="O119" i="18"/>
  <c r="O120" i="18"/>
  <c r="O121" i="18"/>
  <c r="O125" i="18"/>
  <c r="O126" i="18"/>
  <c r="O128" i="18"/>
  <c r="O129" i="18"/>
  <c r="O130" i="18"/>
  <c r="O131" i="18"/>
  <c r="O132" i="18"/>
  <c r="O133" i="18"/>
  <c r="O135" i="18"/>
  <c r="O136" i="18"/>
  <c r="O137" i="18"/>
  <c r="O138" i="18"/>
  <c r="O139" i="18"/>
  <c r="O141" i="18"/>
  <c r="O142" i="18"/>
  <c r="O143" i="18"/>
  <c r="O144" i="18"/>
  <c r="O145" i="18"/>
  <c r="O146" i="18"/>
  <c r="O148" i="18"/>
  <c r="O147" i="18" s="1"/>
  <c r="O109" i="17" s="1"/>
  <c r="O108" i="17" s="1"/>
  <c r="O150" i="18"/>
  <c r="O35" i="18"/>
  <c r="O34" i="18" s="1"/>
  <c r="G151" i="18" l="1"/>
  <c r="L16" i="17"/>
  <c r="L151" i="18"/>
  <c r="E16" i="17"/>
  <c r="E151" i="18"/>
  <c r="M16" i="17"/>
  <c r="M14" i="17" s="1"/>
  <c r="M151" i="18"/>
  <c r="O133" i="17"/>
  <c r="O132" i="17" s="1"/>
  <c r="F16" i="17"/>
  <c r="F151" i="18"/>
  <c r="N16" i="17"/>
  <c r="N14" i="17" s="1"/>
  <c r="N139" i="17" s="1"/>
  <c r="N151" i="18"/>
  <c r="P133" i="17"/>
  <c r="H16" i="17"/>
  <c r="H14" i="17" s="1"/>
  <c r="H139" i="17" s="1"/>
  <c r="H151" i="18"/>
  <c r="I16" i="17"/>
  <c r="I14" i="17" s="1"/>
  <c r="I139" i="17" s="1"/>
  <c r="I151" i="18"/>
  <c r="C133" i="17"/>
  <c r="C132" i="17" s="1"/>
  <c r="J16" i="17"/>
  <c r="J14" i="17" s="1"/>
  <c r="J139" i="17" s="1"/>
  <c r="J151" i="18"/>
  <c r="D133" i="17"/>
  <c r="D132" i="17" s="1"/>
  <c r="D151" i="18"/>
  <c r="K16" i="17"/>
  <c r="K14" i="17" s="1"/>
  <c r="K139" i="17" s="1"/>
  <c r="K151" i="18"/>
  <c r="L14" i="17"/>
  <c r="L139" i="17" s="1"/>
  <c r="P149" i="18"/>
  <c r="P126" i="17" s="1"/>
  <c r="P125" i="17" s="1"/>
  <c r="O149" i="18"/>
  <c r="O126" i="17" s="1"/>
  <c r="O125" i="17" s="1"/>
  <c r="G16" i="17"/>
  <c r="G14" i="17" s="1"/>
  <c r="G139" i="17" s="1"/>
  <c r="C36" i="18"/>
  <c r="C16" i="17" s="1"/>
  <c r="C14" i="17" s="1"/>
  <c r="C23" i="17"/>
  <c r="C22" i="17" s="1"/>
  <c r="P132" i="17"/>
  <c r="P223" i="18"/>
  <c r="P129" i="17" s="1"/>
  <c r="P128" i="17" s="1"/>
  <c r="P271" i="18"/>
  <c r="O300" i="18"/>
  <c r="O80" i="17" s="1"/>
  <c r="O78" i="17" s="1"/>
  <c r="O288" i="18"/>
  <c r="O71" i="17" s="1"/>
  <c r="O69" i="17" s="1"/>
  <c r="O336" i="18"/>
  <c r="O331" i="18"/>
  <c r="O103" i="17" s="1"/>
  <c r="O327" i="18"/>
  <c r="O100" i="17" s="1"/>
  <c r="O98" i="17" s="1"/>
  <c r="O312" i="18"/>
  <c r="O88" i="17" s="1"/>
  <c r="O86" i="17" s="1"/>
  <c r="O284" i="18"/>
  <c r="O68" i="17" s="1"/>
  <c r="O66" i="17" s="1"/>
  <c r="O271" i="18"/>
  <c r="O20" i="17" s="1"/>
  <c r="P300" i="18"/>
  <c r="P80" i="17" s="1"/>
  <c r="P78" i="17" s="1"/>
  <c r="P288" i="18"/>
  <c r="P71" i="17" s="1"/>
  <c r="P69" i="17" s="1"/>
  <c r="P316" i="18"/>
  <c r="P91" i="17" s="1"/>
  <c r="P89" i="17" s="1"/>
  <c r="P292" i="18"/>
  <c r="P74" i="17" s="1"/>
  <c r="P72" i="17" s="1"/>
  <c r="O223" i="18"/>
  <c r="O129" i="17" s="1"/>
  <c r="O128" i="17" s="1"/>
  <c r="O316" i="18"/>
  <c r="O91" i="17" s="1"/>
  <c r="O89" i="17" s="1"/>
  <c r="O292" i="18"/>
  <c r="O74" i="17" s="1"/>
  <c r="O72" i="17" s="1"/>
  <c r="P323" i="18"/>
  <c r="P97" i="17" s="1"/>
  <c r="P95" i="17" s="1"/>
  <c r="P308" i="18"/>
  <c r="P85" i="17" s="1"/>
  <c r="P84" i="17" s="1"/>
  <c r="P304" i="18"/>
  <c r="P83" i="17" s="1"/>
  <c r="P81" i="17" s="1"/>
  <c r="P296" i="18"/>
  <c r="P77" i="17" s="1"/>
  <c r="P75" i="17" s="1"/>
  <c r="P320" i="18"/>
  <c r="P94" i="17" s="1"/>
  <c r="P92" i="17" s="1"/>
  <c r="O323" i="18"/>
  <c r="O97" i="17" s="1"/>
  <c r="O95" i="17" s="1"/>
  <c r="O320" i="18"/>
  <c r="O94" i="17" s="1"/>
  <c r="O92" i="17" s="1"/>
  <c r="O308" i="18"/>
  <c r="O85" i="17" s="1"/>
  <c r="O84" i="17" s="1"/>
  <c r="O304" i="18"/>
  <c r="O83" i="17" s="1"/>
  <c r="O81" i="17" s="1"/>
  <c r="O296" i="18"/>
  <c r="O77" i="17" s="1"/>
  <c r="O75" i="17" s="1"/>
  <c r="P336" i="18"/>
  <c r="P105" i="17" s="1"/>
  <c r="P104" i="17" s="1"/>
  <c r="P331" i="18"/>
  <c r="P103" i="17" s="1"/>
  <c r="P327" i="18"/>
  <c r="P100" i="17" s="1"/>
  <c r="P98" i="17" s="1"/>
  <c r="P312" i="18"/>
  <c r="P88" i="17" s="1"/>
  <c r="P86" i="17" s="1"/>
  <c r="P284" i="18"/>
  <c r="P68" i="17" s="1"/>
  <c r="P66" i="17" s="1"/>
  <c r="P196" i="18"/>
  <c r="P90" i="18"/>
  <c r="P35" i="17" s="1"/>
  <c r="P34" i="17" s="1"/>
  <c r="O196" i="18"/>
  <c r="O140" i="18"/>
  <c r="O63" i="17" s="1"/>
  <c r="P140" i="18"/>
  <c r="P63" i="17" s="1"/>
  <c r="P62" i="17" s="1"/>
  <c r="O134" i="18"/>
  <c r="O59" i="17" s="1"/>
  <c r="P134" i="18"/>
  <c r="P59" i="17" s="1"/>
  <c r="P58" i="17" s="1"/>
  <c r="O127" i="18"/>
  <c r="O55" i="17" s="1"/>
  <c r="P127" i="18"/>
  <c r="P55" i="17" s="1"/>
  <c r="P54" i="17" s="1"/>
  <c r="O122" i="18"/>
  <c r="O51" i="17" s="1"/>
  <c r="P122" i="18"/>
  <c r="P51" i="17" s="1"/>
  <c r="P50" i="17" s="1"/>
  <c r="O114" i="18"/>
  <c r="O47" i="17" s="1"/>
  <c r="P114" i="18"/>
  <c r="P47" i="17" s="1"/>
  <c r="P46" i="17" s="1"/>
  <c r="O97" i="18"/>
  <c r="O39" i="17" s="1"/>
  <c r="P97" i="18"/>
  <c r="P39" i="17" s="1"/>
  <c r="P38" i="17" s="1"/>
  <c r="O90" i="18"/>
  <c r="O35" i="17" s="1"/>
  <c r="O83" i="18"/>
  <c r="O31" i="17" s="1"/>
  <c r="P83" i="18"/>
  <c r="P31" i="17" s="1"/>
  <c r="P30" i="17" s="1"/>
  <c r="P76" i="18"/>
  <c r="P27" i="17" s="1"/>
  <c r="P26" i="17" s="1"/>
  <c r="O76" i="18"/>
  <c r="O27" i="17" s="1"/>
  <c r="O69" i="18"/>
  <c r="O23" i="17" s="1"/>
  <c r="P69" i="18"/>
  <c r="P23" i="17" s="1"/>
  <c r="P22" i="17" s="1"/>
  <c r="P36" i="18"/>
  <c r="P16" i="17" s="1"/>
  <c r="O40" i="18"/>
  <c r="O344" i="18"/>
  <c r="O345" i="18"/>
  <c r="O346" i="18"/>
  <c r="O347" i="18"/>
  <c r="O348" i="18"/>
  <c r="O349" i="18"/>
  <c r="O350" i="18"/>
  <c r="O351" i="18"/>
  <c r="O352" i="18"/>
  <c r="O353" i="18"/>
  <c r="O354" i="18"/>
  <c r="O355" i="18"/>
  <c r="O356" i="18"/>
  <c r="O412" i="18" s="1"/>
  <c r="O140" i="17" s="1"/>
  <c r="O357" i="18"/>
  <c r="O358" i="18"/>
  <c r="O359" i="18"/>
  <c r="O360" i="18"/>
  <c r="O361" i="18"/>
  <c r="O363" i="18"/>
  <c r="O364" i="18"/>
  <c r="O365" i="18"/>
  <c r="O367" i="18"/>
  <c r="O368" i="18"/>
  <c r="O369" i="18"/>
  <c r="O370" i="18"/>
  <c r="O371" i="18"/>
  <c r="O372" i="18"/>
  <c r="O375" i="18"/>
  <c r="O377" i="18"/>
  <c r="O379" i="18"/>
  <c r="O380" i="18"/>
  <c r="O382" i="18"/>
  <c r="O383" i="18"/>
  <c r="O385" i="18"/>
  <c r="O386" i="18"/>
  <c r="O388" i="18"/>
  <c r="O389" i="18"/>
  <c r="O391" i="18"/>
  <c r="O392" i="18"/>
  <c r="O394" i="18"/>
  <c r="O395" i="18"/>
  <c r="O397" i="18"/>
  <c r="O398" i="18"/>
  <c r="O400" i="18"/>
  <c r="O401" i="18"/>
  <c r="O403" i="18"/>
  <c r="O404" i="18"/>
  <c r="O406" i="18"/>
  <c r="O407" i="18"/>
  <c r="O408" i="18"/>
  <c r="O138" i="17" s="1"/>
  <c r="O137" i="17" s="1"/>
  <c r="O409" i="18"/>
  <c r="O136" i="17" s="1"/>
  <c r="O135" i="17" s="1"/>
  <c r="O342" i="18"/>
  <c r="O13" i="17" l="1"/>
  <c r="O12" i="17" s="1"/>
  <c r="C151" i="18"/>
  <c r="C139" i="17"/>
  <c r="P18" i="17"/>
  <c r="P259" i="18"/>
  <c r="O18" i="17"/>
  <c r="O259" i="18"/>
  <c r="P20" i="17"/>
  <c r="P340" i="18"/>
  <c r="O105" i="17"/>
  <c r="O104" i="17" s="1"/>
  <c r="O340" i="18"/>
  <c r="P101" i="17"/>
  <c r="O101" i="17"/>
  <c r="O36" i="18"/>
  <c r="O399" i="18"/>
  <c r="O57" i="17" s="1"/>
  <c r="O54" i="17" s="1"/>
  <c r="O381" i="18"/>
  <c r="O33" i="17" s="1"/>
  <c r="O30" i="17" s="1"/>
  <c r="O387" i="18"/>
  <c r="O41" i="17" s="1"/>
  <c r="O38" i="17" s="1"/>
  <c r="O343" i="18"/>
  <c r="O21" i="17" s="1"/>
  <c r="O396" i="18"/>
  <c r="O53" i="17" s="1"/>
  <c r="O50" i="17" s="1"/>
  <c r="O402" i="18"/>
  <c r="O61" i="17" s="1"/>
  <c r="O58" i="17" s="1"/>
  <c r="O378" i="18"/>
  <c r="O29" i="17" s="1"/>
  <c r="O26" i="17" s="1"/>
  <c r="O393" i="18"/>
  <c r="O49" i="17" s="1"/>
  <c r="O46" i="17" s="1"/>
  <c r="O390" i="18"/>
  <c r="O45" i="17" s="1"/>
  <c r="O405" i="18"/>
  <c r="O65" i="17" s="1"/>
  <c r="O62" i="17" s="1"/>
  <c r="O384" i="18"/>
  <c r="O37" i="17" s="1"/>
  <c r="O34" i="17" s="1"/>
  <c r="O376" i="18"/>
  <c r="O25" i="17" s="1"/>
  <c r="O22" i="17" s="1"/>
  <c r="D12" i="1"/>
  <c r="O16" i="17" l="1"/>
  <c r="O410" i="18"/>
  <c r="N32" i="18"/>
  <c r="N411" i="18" s="1"/>
  <c r="M32" i="18"/>
  <c r="H32" i="18"/>
  <c r="H411" i="18" s="1"/>
  <c r="G32" i="18"/>
  <c r="G411" i="18" s="1"/>
  <c r="K32" i="18"/>
  <c r="K411" i="18" s="1"/>
  <c r="K413" i="18" s="1"/>
  <c r="I32" i="18"/>
  <c r="I411" i="18" s="1"/>
  <c r="I413" i="18" s="1"/>
  <c r="E14" i="18"/>
  <c r="C32" i="18"/>
  <c r="N413" i="18" l="1"/>
  <c r="H413" i="18"/>
  <c r="C411" i="18"/>
  <c r="C413" i="18" s="1"/>
  <c r="E32" i="18"/>
  <c r="E411" i="18" s="1"/>
  <c r="E413" i="18" s="1"/>
  <c r="E15" i="17"/>
  <c r="E14" i="17" s="1"/>
  <c r="E139" i="17" s="1"/>
  <c r="G413" i="18"/>
  <c r="O14" i="18"/>
  <c r="O32" i="18" l="1"/>
  <c r="O15" i="17"/>
  <c r="O14" i="17" s="1"/>
  <c r="D76" i="1" l="1"/>
  <c r="E48" i="2" l="1"/>
  <c r="D74" i="1" s="1"/>
  <c r="F48" i="2"/>
  <c r="D75" i="1" s="1"/>
  <c r="D47" i="1" l="1"/>
  <c r="D23" i="1"/>
  <c r="D22" i="1" l="1"/>
  <c r="C11" i="2" l="1"/>
  <c r="D62" i="1" l="1"/>
  <c r="C12" i="2" l="1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10" i="2"/>
  <c r="F14" i="18" l="1"/>
  <c r="F15" i="17" s="1"/>
  <c r="F14" i="17" s="1"/>
  <c r="F139" i="17" s="1"/>
  <c r="P14" i="18" l="1"/>
  <c r="F32" i="18"/>
  <c r="F411" i="18" s="1"/>
  <c r="J32" i="18"/>
  <c r="J411" i="18" s="1"/>
  <c r="L32" i="18"/>
  <c r="L411" i="18" s="1"/>
  <c r="L413" i="18" s="1"/>
  <c r="D32" i="18"/>
  <c r="D411" i="18" s="1"/>
  <c r="D66" i="17"/>
  <c r="D139" i="17" s="1"/>
  <c r="D413" i="18" l="1"/>
  <c r="J413" i="18"/>
  <c r="F413" i="18"/>
  <c r="P32" i="18"/>
  <c r="P15" i="17"/>
  <c r="P14" i="17" s="1"/>
  <c r="N141" i="17" l="1"/>
  <c r="E141" i="17"/>
  <c r="L141" i="17"/>
  <c r="Q22" i="17"/>
  <c r="F141" i="17" l="1"/>
  <c r="K141" i="17"/>
  <c r="I141" i="17" l="1"/>
  <c r="D141" i="17"/>
  <c r="C141" i="17" l="1"/>
  <c r="D21" i="1"/>
  <c r="D81" i="1" l="1"/>
  <c r="D48" i="2"/>
  <c r="D85" i="1"/>
  <c r="D69" i="1"/>
  <c r="D11" i="1"/>
  <c r="D15" i="1"/>
  <c r="D19" i="1"/>
  <c r="D73" i="1" l="1"/>
  <c r="D72" i="1" s="1"/>
  <c r="D67" i="1"/>
  <c r="C48" i="2"/>
  <c r="D10" i="1"/>
  <c r="D66" i="1" l="1"/>
  <c r="D84" i="1" s="1"/>
  <c r="D92" i="1" l="1"/>
  <c r="J141" i="17" l="1"/>
  <c r="O105" i="18" l="1"/>
  <c r="O151" i="18" s="1"/>
  <c r="P105" i="18"/>
  <c r="P151" i="18" s="1"/>
  <c r="P411" i="18" l="1"/>
  <c r="P43" i="17"/>
  <c r="P42" i="17" s="1"/>
  <c r="O411" i="18"/>
  <c r="O43" i="17"/>
  <c r="O42" i="17" s="1"/>
  <c r="O139" i="17" l="1"/>
  <c r="O141" i="17" s="1"/>
  <c r="P139" i="17"/>
  <c r="P141" i="17" s="1"/>
  <c r="P413" i="18"/>
  <c r="O413" i="18"/>
  <c r="H141" i="17" l="1"/>
  <c r="G141" i="17"/>
  <c r="M320" i="18" l="1"/>
  <c r="M94" i="17" l="1"/>
  <c r="M92" i="17" s="1"/>
  <c r="M340" i="18"/>
  <c r="M411" i="18" s="1"/>
  <c r="M139" i="17" l="1"/>
  <c r="M141" i="17" s="1"/>
  <c r="M413" i="18"/>
</calcChain>
</file>

<file path=xl/sharedStrings.xml><?xml version="1.0" encoding="utf-8"?>
<sst xmlns="http://schemas.openxmlformats.org/spreadsheetml/2006/main" count="1224" uniqueCount="531">
  <si>
    <t>Suma</t>
  </si>
  <si>
    <t>1.1.</t>
  </si>
  <si>
    <t>1.1.1.</t>
  </si>
  <si>
    <t>Pajamų ir pelno mokesčiai (3)</t>
  </si>
  <si>
    <t>1.1.3.</t>
  </si>
  <si>
    <t>1.1.3.1.</t>
  </si>
  <si>
    <t>Žemės mokestis</t>
  </si>
  <si>
    <t>1.1.3.2.</t>
  </si>
  <si>
    <t>Paveldimo turto mokestis</t>
  </si>
  <si>
    <t>1.1.3.3.</t>
  </si>
  <si>
    <t>Nekilnojamojo turto mokestis</t>
  </si>
  <si>
    <t>1.1.4.</t>
  </si>
  <si>
    <t>1.1.4.7.1.1.</t>
  </si>
  <si>
    <t>Valstybės rinkliavos</t>
  </si>
  <si>
    <t>1.3.4.1.1.1.</t>
  </si>
  <si>
    <t>iš jų:</t>
  </si>
  <si>
    <t>Melioracijai</t>
  </si>
  <si>
    <t>Socialinėms išmokoms ir kompensacijoms skaičiuoti ir mokėti</t>
  </si>
  <si>
    <t>1.4.</t>
  </si>
  <si>
    <t>1.4.1.</t>
  </si>
  <si>
    <t>Nuomos mokestis už valstybinę žemę ir valstybinius vidaus vandenų telkinius</t>
  </si>
  <si>
    <t>1.4.2.</t>
  </si>
  <si>
    <t>Įmokos už išlaikymą švietimo, socialinės apsaugos ir kitose įstaigose</t>
  </si>
  <si>
    <t>1.4.3.</t>
  </si>
  <si>
    <t>Pajamos iš baudų ir konfiskacijos</t>
  </si>
  <si>
    <t>Melioracija</t>
  </si>
  <si>
    <t>Eil. Nr.</t>
  </si>
  <si>
    <t>Iš viso</t>
  </si>
  <si>
    <t>Savivaldybės administracija</t>
  </si>
  <si>
    <t>Tytuvėnų seniūnija</t>
  </si>
  <si>
    <t>Tytuvėnų apylinkių seniūnija</t>
  </si>
  <si>
    <t>Užvenčio seniūnija</t>
  </si>
  <si>
    <t>Kražių seniūnija</t>
  </si>
  <si>
    <t>Kelmės krašto muziejus</t>
  </si>
  <si>
    <t>Kelmės mažasis teatras</t>
  </si>
  <si>
    <t>Kelmės kultūros centras</t>
  </si>
  <si>
    <t>Užvenčio kultūros centras</t>
  </si>
  <si>
    <t>Pakražančio kultūros centras</t>
  </si>
  <si>
    <t>Tytuvėnų kultūros centras</t>
  </si>
  <si>
    <t>Tytuvėnų gimnazija</t>
  </si>
  <si>
    <t>Iš viso:</t>
  </si>
  <si>
    <t>Kelmės apylinkių seniūnija</t>
  </si>
  <si>
    <t>Šaukėnų seniūnija</t>
  </si>
  <si>
    <t>Pakražančio seniūnija</t>
  </si>
  <si>
    <t>Liolių seniūnija</t>
  </si>
  <si>
    <t>Kukečių seniūnija</t>
  </si>
  <si>
    <t>Vaiguvos seniūnija</t>
  </si>
  <si>
    <t>Funkcinės klasifikacijos kodas</t>
  </si>
  <si>
    <t>Kelmės specialioji mokykla</t>
  </si>
  <si>
    <t>Kelmės rajono savivaldybės tarybos</t>
  </si>
  <si>
    <t>Gyventojų registro tvarkymas ir duomenų valstybės registrui teikimas</t>
  </si>
  <si>
    <t>Valstybinės kalbos vartojimo ir taisyklingumo kontrolė</t>
  </si>
  <si>
    <t>Gyvenamosios vietos deklaravimas</t>
  </si>
  <si>
    <t>Civilinės saugos organizavimas</t>
  </si>
  <si>
    <t>Priešgaisrinės saugos tarnyba</t>
  </si>
  <si>
    <t>Kelmės seniūnija</t>
  </si>
  <si>
    <t>Civilinės būklės aktų registravimas</t>
  </si>
  <si>
    <t>iš jų darbo užmokesčiui</t>
  </si>
  <si>
    <t>01.</t>
  </si>
  <si>
    <t>03.</t>
  </si>
  <si>
    <t>04.</t>
  </si>
  <si>
    <t>05.</t>
  </si>
  <si>
    <t>06.</t>
  </si>
  <si>
    <t>08.</t>
  </si>
  <si>
    <t>09.</t>
  </si>
  <si>
    <t>10.</t>
  </si>
  <si>
    <t>Visuomenės sveikatos biuras</t>
  </si>
  <si>
    <t>07.</t>
  </si>
  <si>
    <t>Kražių Motiejaus Kazimiero Sarbievijaus kultūros centras</t>
  </si>
  <si>
    <t>Elvyravos pagrindinė mokykla</t>
  </si>
  <si>
    <t>Kitos neišvardytos pajamos</t>
  </si>
  <si>
    <t>Kražių M.K.Sarbievijaus kultūros centras</t>
  </si>
  <si>
    <t xml:space="preserve">                                                                    Kelmės rajono savivaldybės tarybos</t>
  </si>
  <si>
    <t xml:space="preserve">                                                                    1 priedas</t>
  </si>
  <si>
    <t>už patalpų nuomą</t>
  </si>
  <si>
    <t>Užvenčio Šatrijos Raganos gimnazija</t>
  </si>
  <si>
    <t>Dalyvauti rengiant ir įgyvendinant darbo rinkos politikos priemones ir gyventojų užimtumo programas</t>
  </si>
  <si>
    <t>3 priedas</t>
  </si>
  <si>
    <t>Kontrolės ir audito tarnyba</t>
  </si>
  <si>
    <t>Kiti mokesčiai už valstybinius gamtos išteklius</t>
  </si>
  <si>
    <t>už prekes ir paslaugas</t>
  </si>
  <si>
    <t>Jaunimo teisių apsaugai</t>
  </si>
  <si>
    <t>Valstybinės kalbos vartojimo ir taisyklingumo kontrolei</t>
  </si>
  <si>
    <t>už išlaikymą švietimo, socialinės apsaugos ir kitose įstaigose</t>
  </si>
  <si>
    <t>Kelmės rajono savivaldybės Žemaitės viešoji biblioteka</t>
  </si>
  <si>
    <t xml:space="preserve">Socialinei paramai mokiniams </t>
  </si>
  <si>
    <t>Socialinėms paslaugoms</t>
  </si>
  <si>
    <t>Civilinės būklės aktams registruoti</t>
  </si>
  <si>
    <t>Civilinei saugai</t>
  </si>
  <si>
    <t>Priešgaisrinei saugai</t>
  </si>
  <si>
    <t>Gyvenamosios vietos deklaravimo duomenų ir gyvenamosios vietos neturinčių asmenų apskaitos dokumentams tvarkyti</t>
  </si>
  <si>
    <t>Žemės ūkio funkcijoms atlikti</t>
  </si>
  <si>
    <t>Savivaldybių mokykloms (klasėms), skirtoms šalies (regiono) mokiniams, turintiems specialiųjų ugdymo poreikių</t>
  </si>
  <si>
    <t>4.1.</t>
  </si>
  <si>
    <t>2</t>
  </si>
  <si>
    <t>3</t>
  </si>
  <si>
    <t>5</t>
  </si>
  <si>
    <t>6</t>
  </si>
  <si>
    <t>Liolių socialinės globos namai</t>
  </si>
  <si>
    <t>Įstaigos pavadinimas</t>
  </si>
  <si>
    <t>7</t>
  </si>
  <si>
    <t>Visuomenės sveikatos priežiūros funkcijoms</t>
  </si>
  <si>
    <t>Kelmės „Kražantės“ progimnazija</t>
  </si>
  <si>
    <t>Kelmės lopšelis-darželis „Ąžuoliukas“</t>
  </si>
  <si>
    <t>Kelmės „Kūlverstuko“ lopšelis-darželis</t>
  </si>
  <si>
    <t>Kelmės „Aukuro“ pagrindinė mokykla</t>
  </si>
  <si>
    <t>Kelmės „Aukuro" pagrindinė mokykla</t>
  </si>
  <si>
    <t>Kelmės „Kražantės" progimnazija</t>
  </si>
  <si>
    <t>Teritorijų planavimas</t>
  </si>
  <si>
    <t>Eur</t>
  </si>
  <si>
    <t>Būsto nuomos ir išperkamosios būsto nuomos mokesčių dalies kompensacijoms</t>
  </si>
  <si>
    <t>Šaukėnų Vlado Pūtvio-Putvinskio gimnazija</t>
  </si>
  <si>
    <t>Biudžetinių lėšų</t>
  </si>
  <si>
    <t>Biudžetinių įstaigų pajamų</t>
  </si>
  <si>
    <t>Aplinkos apsaugos specialiosios programos</t>
  </si>
  <si>
    <t>5.</t>
  </si>
  <si>
    <t>5.1.</t>
  </si>
  <si>
    <t>5.2.</t>
  </si>
  <si>
    <t>5.3.</t>
  </si>
  <si>
    <t>6.</t>
  </si>
  <si>
    <t xml:space="preserve">Savarankiškosioms funkcijoms </t>
  </si>
  <si>
    <t>Iš įstaigų gautų pajamų</t>
  </si>
  <si>
    <t>Skolintos lėšos</t>
  </si>
  <si>
    <t>IŠ VISO</t>
  </si>
  <si>
    <t>1</t>
  </si>
  <si>
    <t>Savivaldybės administracija, iš jų:</t>
  </si>
  <si>
    <t>Tarybos darbui organizuoti</t>
  </si>
  <si>
    <t>Aplinkos apsaugos  rėmimo specialioji programa</t>
  </si>
  <si>
    <t>Atliekoms tvarkyti</t>
  </si>
  <si>
    <t>Gatvėms apšviesti</t>
  </si>
  <si>
    <t xml:space="preserve">IŠ VISO PAGAL PROGRAMAS </t>
  </si>
  <si>
    <t>1 - Ekonominės aplinkos ir investicijų programa</t>
  </si>
  <si>
    <t>Turizmas ir tarptautiniai ryšiai</t>
  </si>
  <si>
    <t>Investicijų projektai, projektinė dokumentacija</t>
  </si>
  <si>
    <t>Paveldosauga</t>
  </si>
  <si>
    <t>Visuomeninių organizacijų rėmimas</t>
  </si>
  <si>
    <t>1.3.</t>
  </si>
  <si>
    <t>Liolių socialinės globos namai, iš jų:</t>
  </si>
  <si>
    <t>Programos /Įstaigos pavadinimas</t>
  </si>
  <si>
    <t>Sakralinių objektų finansavimas</t>
  </si>
  <si>
    <t>Smulkių ir vidutinių ūkių plėtros programa</t>
  </si>
  <si>
    <t>Smulkaus ir vidutinio verslo programa</t>
  </si>
  <si>
    <t>2 - Infrastruktūros ir gyvenamosios aplinkos programa</t>
  </si>
  <si>
    <t>Seniūnijų komunalinio ūkio plėtra</t>
  </si>
  <si>
    <t>Prekyviečių ir pirčių išlaikymas</t>
  </si>
  <si>
    <t>Daugiabučių namų rėmimo programa</t>
  </si>
  <si>
    <t>Viešųjų darbų vykdymas</t>
  </si>
  <si>
    <t>Kelmės seniūnija, iš jų:</t>
  </si>
  <si>
    <t>Kelių plėtra ir priežiūra</t>
  </si>
  <si>
    <t>Socialinio būsto plėtra</t>
  </si>
  <si>
    <t>Kelmės apylinkių seniūnija, iš jų:</t>
  </si>
  <si>
    <t>Tytuvėnų seniūnija, iš jų:</t>
  </si>
  <si>
    <t>Tytuvėnų apylinkių seniūnija, iš jų:</t>
  </si>
  <si>
    <t>Užvenčio seniūnija, iš jų:</t>
  </si>
  <si>
    <t>Šaukėnų seniūnija, iš jų:</t>
  </si>
  <si>
    <t>Kražių seniūnija, iš jų:</t>
  </si>
  <si>
    <t>Pakražančio seniūnija, iš jų:</t>
  </si>
  <si>
    <t>Liolių seniūnija, iš jų:</t>
  </si>
  <si>
    <t>Kukečių seniūnija, iš jų:</t>
  </si>
  <si>
    <t>Vaiguvos seniūnija, iš jų:</t>
  </si>
  <si>
    <t>Iš viso (2)</t>
  </si>
  <si>
    <t>Iš viso (1)</t>
  </si>
  <si>
    <t>3 - Kultūros ir sporto programa</t>
  </si>
  <si>
    <t>5.4.</t>
  </si>
  <si>
    <t>5.5.</t>
  </si>
  <si>
    <t>Sporto ir sporto klubų veiklos organizavimas ir finansavimas</t>
  </si>
  <si>
    <t>Kultūros veiklos finansavimas</t>
  </si>
  <si>
    <t>Kultūros programų finansavimas</t>
  </si>
  <si>
    <t>Literatūrinių premijų finansavimas</t>
  </si>
  <si>
    <t xml:space="preserve">Tytuvėnų kultūros centras </t>
  </si>
  <si>
    <t>Įstaigos išlaidoms</t>
  </si>
  <si>
    <t xml:space="preserve">Liolių seniūnija </t>
  </si>
  <si>
    <t>Asignavimų valdytojas</t>
  </si>
  <si>
    <t>Kelmės rajono savivaldybės administracijos direktorius</t>
  </si>
  <si>
    <t>Kelmės rajono savivaldybės administracijos Kelmės seniūnijos seniūnas</t>
  </si>
  <si>
    <t>Kelmės rajono savivaldybės administracijos Kelmės apylinkių seniūnijos seniūnas</t>
  </si>
  <si>
    <t>Kelmės rajono savivaldybės administracijos Tytuvėnų seniūnijos seniūnas</t>
  </si>
  <si>
    <t>Kelmės rajono savivaldybės administracijos Tytuvėnų apylinkių seniūnijos seniūnas</t>
  </si>
  <si>
    <t>Kelmės rajono savivaldybės administracijos Užvenčio seniūnijos seniūnas</t>
  </si>
  <si>
    <t>Kelmės rajono savivaldybės administracijos Šaukėnų seniūnijos seniūnas</t>
  </si>
  <si>
    <t>Kelmės rajono savivaldybės administracijos Kražių seniūnijos seniūnas</t>
  </si>
  <si>
    <t>Kelmės rajono savivaldybės administracijos Pakražančio seniūnijos seniūnas</t>
  </si>
  <si>
    <t>Kelmės rajono savivaldybės administracijos Liolių seniūnijos seniūnas</t>
  </si>
  <si>
    <t>Kelmės rajono savivaldybės administracijos Kukečių seniūnijos seniūnas</t>
  </si>
  <si>
    <t>Kelmės rajono savivaldybės administracijos Vaiguvos seniūnijos seniūnas</t>
  </si>
  <si>
    <t>Kelmės rajono Tytuvėnų gimnazijos direktorius</t>
  </si>
  <si>
    <t>Kelmės rajono Užvenčio Šatrijos Raganos gimnazijos direktorius</t>
  </si>
  <si>
    <t>Kelmės rajono Šaukėnų Vlado Pūtvio - Putvinskio gimnazijos direktorius</t>
  </si>
  <si>
    <t>Kelmės ,,Kražantės" progimnazijos direktorius</t>
  </si>
  <si>
    <t>Kelmės ,,Aukuro" pagrindinės mokyklos direktorius</t>
  </si>
  <si>
    <t>Kelmės rajono Elvyravos pagrindinės mokyklos direktorius</t>
  </si>
  <si>
    <t>Kelmės specialiosios mokyklos direktorius</t>
  </si>
  <si>
    <t>Kelmės kultūros centro direktorius</t>
  </si>
  <si>
    <t>Kražių Motiejaus Kazimiero Sarbievijaus kultūros centro direktorius</t>
  </si>
  <si>
    <t>Tytuvėnų kultūros centro direktorius</t>
  </si>
  <si>
    <t>Pakražančio kultūros centro direktorius</t>
  </si>
  <si>
    <t>Užvenčio kultūros centro direktorius</t>
  </si>
  <si>
    <t>Kelmės rajono savivaldybės Žemaitės viešosios bibliotekos direktorius</t>
  </si>
  <si>
    <t>Kelmės krašto muziejaus direktorius</t>
  </si>
  <si>
    <t>Kelmės mažojo teatro vadovas</t>
  </si>
  <si>
    <t>Liolių socialinės globos namų direktorius</t>
  </si>
  <si>
    <t>Kelmės rajono savivaldybės visuomenės sveikatos biuro direktorius</t>
  </si>
  <si>
    <t>Kelmės rajono priešgaisrinės saugos tarnybos viršininkas</t>
  </si>
  <si>
    <t>Kelmės rajono savivaldybės kontrolės ir audito tarnyba</t>
  </si>
  <si>
    <t>Kelmės rajono savivaldybės administracija</t>
  </si>
  <si>
    <t>Kelmės rajono savivaldybės administracijos Kelmės seniūnija</t>
  </si>
  <si>
    <t>4</t>
  </si>
  <si>
    <t>Kelmės rajono savivaldybės administracijos Kelmės apylinkių seniūnija</t>
  </si>
  <si>
    <t>Kelmės rajono savivaldybės administracijos Tytuvėnų seniūnija</t>
  </si>
  <si>
    <t>Kelmės rajono savivaldybės administracijos Tytuvėnų apylinkių seniūnija</t>
  </si>
  <si>
    <t>Kelmės rajono savivaldybės administracijos Užvenčio seniūnija</t>
  </si>
  <si>
    <t>8</t>
  </si>
  <si>
    <t>Kelmės rajono savivaldybės administracijos Šaukėnų seniūnija</t>
  </si>
  <si>
    <t>9</t>
  </si>
  <si>
    <t>Kelmės rajono savivaldybės administracijos Kražių seniūnija</t>
  </si>
  <si>
    <t>10</t>
  </si>
  <si>
    <t>Kelmės rajono savivaldybės administracijos Pakražančio seniūnija</t>
  </si>
  <si>
    <t>11</t>
  </si>
  <si>
    <t>Kelmės rajono savivaldybės administracijos Liolių seniūnija</t>
  </si>
  <si>
    <t>12</t>
  </si>
  <si>
    <t>Kelmės rajono savivaldybės administracijos Kukečių seniūnija</t>
  </si>
  <si>
    <t>13</t>
  </si>
  <si>
    <t>Kelmės rajono savivaldybės administracijos Vaiguvos seniūnija</t>
  </si>
  <si>
    <t>14</t>
  </si>
  <si>
    <t>15</t>
  </si>
  <si>
    <t>16</t>
  </si>
  <si>
    <t>Kelmės rajono Tytuvėnų gimnazija</t>
  </si>
  <si>
    <t>17</t>
  </si>
  <si>
    <t>Kelmės rajono Užvenčio Šatrijos Raganos gimnazija</t>
  </si>
  <si>
    <t>18</t>
  </si>
  <si>
    <t>Kelmės rajono Šaukėnų Vlado Pūtvio - Putvinskio gimnazija</t>
  </si>
  <si>
    <t>19</t>
  </si>
  <si>
    <t>20</t>
  </si>
  <si>
    <t>21</t>
  </si>
  <si>
    <t>22</t>
  </si>
  <si>
    <t>Kelmės ,,Kražantės" progimnazija</t>
  </si>
  <si>
    <t>23</t>
  </si>
  <si>
    <t>Kelmės ,,Aukuro" pagrindinė mokykla</t>
  </si>
  <si>
    <t>25</t>
  </si>
  <si>
    <t>Kelmės rajono Elvyravos pagrindinė mokykla</t>
  </si>
  <si>
    <t>26</t>
  </si>
  <si>
    <t>27</t>
  </si>
  <si>
    <t>29</t>
  </si>
  <si>
    <t>30</t>
  </si>
  <si>
    <t>31</t>
  </si>
  <si>
    <t>32</t>
  </si>
  <si>
    <t xml:space="preserve">Kelmės lopšelis - darželis ,,Ąžuoliukas" </t>
  </si>
  <si>
    <t>33</t>
  </si>
  <si>
    <t>Kelmės ,, Kūlverstuko" lopšelis - darželis</t>
  </si>
  <si>
    <t>34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</si>
  <si>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</si>
  <si>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</si>
  <si>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</si>
  <si>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</si>
  <si>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</si>
  <si>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</si>
  <si>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</si>
  <si>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</si>
  <si>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</si>
  <si>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</si>
  <si>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Kelmės rajono savivaldybės Žemaitės viešosios biblioteka</t>
  </si>
  <si>
    <t>Kelmės rajono savivaldybės visuomenės sveikatos biuras</t>
  </si>
  <si>
    <t>Kelmės rajono priešgaisrinės saugos tarnyba</t>
  </si>
  <si>
    <t>IŠ VISO PAGAL ĮSTAIGAS</t>
  </si>
  <si>
    <t>Iš viso (3)</t>
  </si>
  <si>
    <t>4-Socialinių paslaugų programa</t>
  </si>
  <si>
    <t>Socialinės globos paslaugų finansavimas (globos lovos)</t>
  </si>
  <si>
    <t>Parama mokinio reikmenims</t>
  </si>
  <si>
    <t>Išlaidų, susijusių su transporto lengvatų taikymu, kompensavimas</t>
  </si>
  <si>
    <t>Nuostolingų maršrutų kompensavimas</t>
  </si>
  <si>
    <t>Studijų rėmimo programa</t>
  </si>
  <si>
    <t>Vienkartinių pašalpų mokėjimas</t>
  </si>
  <si>
    <t>Mirusiųjų asmenų pervežimo paslaugoms</t>
  </si>
  <si>
    <t>Socialinės globos paslaugų asmenims su sunkia negalia finansavimas</t>
  </si>
  <si>
    <t>Nemokamas mokinių maitinimas</t>
  </si>
  <si>
    <t>Iš viso (4)</t>
  </si>
  <si>
    <t>5-Sveikos visuomenės programa</t>
  </si>
  <si>
    <t>Iš viso (5)</t>
  </si>
  <si>
    <t>Jaunimo veiklų finansavimas</t>
  </si>
  <si>
    <t>Mokinių vežiojimo paslaugų teikimas</t>
  </si>
  <si>
    <t>Ugdymo programų įgyvendinimas</t>
  </si>
  <si>
    <t>Biudžetinių įstaigų pajamų panaudojimas</t>
  </si>
  <si>
    <t>Iš viso (6)</t>
  </si>
  <si>
    <t>6-Švietimo veiklos programa</t>
  </si>
  <si>
    <t xml:space="preserve">7-Savivaldybės veiklos programa </t>
  </si>
  <si>
    <t>Savivaldybės valdymo išlaidos</t>
  </si>
  <si>
    <t>Reprezentacinės išlaidos</t>
  </si>
  <si>
    <t>Kitos išlaidos</t>
  </si>
  <si>
    <t>Mero fondas</t>
  </si>
  <si>
    <t>Programinės įrangos atnaujinimui</t>
  </si>
  <si>
    <t>Inventorizacijai</t>
  </si>
  <si>
    <t>Seniūnijų veiklos finansavimas</t>
  </si>
  <si>
    <t>Vaizdo kamerų aptarnavimas</t>
  </si>
  <si>
    <t>Iš viso (7)</t>
  </si>
  <si>
    <t>02.</t>
  </si>
  <si>
    <t>Socialinių išmokų ir kompensacijų skaičiavimas ir mokėjimas (pašalpos)</t>
  </si>
  <si>
    <t>4 - Socialinių paslaugų programa</t>
  </si>
  <si>
    <t>5 - Sveikos visuomenės programa</t>
  </si>
  <si>
    <t>6 - Švietimo veiklos programa</t>
  </si>
  <si>
    <t xml:space="preserve">7 - Savivaldybės veiklos programa </t>
  </si>
  <si>
    <t>Visuomenės sveikatos programų ir projektų finansavimas</t>
  </si>
  <si>
    <t>Kelmės lopšelio-darželio ,,Ąžuoliukas" direktorius</t>
  </si>
  <si>
    <t>Kelmės ,,Kūlverstuko" lopšelio-darželio direktorius</t>
  </si>
  <si>
    <t>Kelmės Žemaitės viešoji biblioteka</t>
  </si>
  <si>
    <t>Kelmės rajono Šaukėnų Vlado Pūtvio-Putvinskio gimnazija</t>
  </si>
  <si>
    <t xml:space="preserve">Kelmės lopšelis-darželis ,,Ąžuoliukas" </t>
  </si>
  <si>
    <t>Kelmės ,, Kūlverstuko" lopšelis-darželis, iš jų:</t>
  </si>
  <si>
    <t>Ugdymosi sąlygų sudarymo ir neformalaus švietimo įgyvendinimas</t>
  </si>
  <si>
    <t>Kelmės rajono Tytuvėnų gimnazija, iš jų:</t>
  </si>
  <si>
    <t>Kelmės rajono Užvenčio Šatrijos Raganos gimnazija, iš jų:</t>
  </si>
  <si>
    <t>Kelmės ,,Kražantės" progimnazija, iš jų:</t>
  </si>
  <si>
    <t>Kelmės ,,Aukuro" pagrindinė mokykla, iš jų:</t>
  </si>
  <si>
    <t>Kelmės rajono Elvyravos pagrindinė mokykla, iš jų:</t>
  </si>
  <si>
    <t>Kelmės specialioji mokykla, iš jų:</t>
  </si>
  <si>
    <t>Kelmės ,,Kūlverstuko" lopšelis-darželis, iš jų:</t>
  </si>
  <si>
    <t>Kelmės lopšelis-darželis ,,Ąžuoliukas" , iš jų:</t>
  </si>
  <si>
    <t>Kelmės rajono Šaukėnų Vlado Pūtvio-Putvinskio gimnazija, iš jų:</t>
  </si>
  <si>
    <t xml:space="preserve">                   Kelmės rajono savivaldybės tarybos</t>
  </si>
  <si>
    <t xml:space="preserve">                   2 priedas</t>
  </si>
  <si>
    <t>Šaukėnų kultūros ir amatų centras</t>
  </si>
  <si>
    <t>Pakražančio gimnazija</t>
  </si>
  <si>
    <t>Socialinių paslaugų centras</t>
  </si>
  <si>
    <t>4.1.1.1.</t>
  </si>
  <si>
    <t>Šaukėnų kultūros ir amatų centro direktorius</t>
  </si>
  <si>
    <t>Kelmės rajono socialinių paslaugų centro direktorius</t>
  </si>
  <si>
    <t>Kelmės rajono Pakražančio gimnazijos direktorius</t>
  </si>
  <si>
    <t>Kelmės rajono Pakražančio gimnazija, iš jų:</t>
  </si>
  <si>
    <t xml:space="preserve">Kelmės rajono Pakražančio gimnazija </t>
  </si>
  <si>
    <t>Pajamų  klasifikacijos kodas</t>
  </si>
  <si>
    <t>Pavadinimas</t>
  </si>
  <si>
    <t>iš jų: finansinių įsipareigojimų vykdymas (paskolų grąžinimas)</t>
  </si>
  <si>
    <t>Kelmės rajono Pakražančio gimnazija</t>
  </si>
  <si>
    <t>Šaukėnų kultūros ir amatų  centras</t>
  </si>
  <si>
    <t>Kelmės rajono socialinių paslaugų centras</t>
  </si>
  <si>
    <t>Socialinių paslaugų centras, iš jų:</t>
  </si>
  <si>
    <t>Kitos socialinės paramos išmokos</t>
  </si>
  <si>
    <t>Be tėvų globos likusių vaikų socialinė globa</t>
  </si>
  <si>
    <t xml:space="preserve">Vietinės rinkliavos </t>
  </si>
  <si>
    <t>Duomenims Suteiktos valstybės pagalbos registrui teikti</t>
  </si>
  <si>
    <t>Gyventojų registrui tvarkyti ir duomenims valstybės registrui teikti</t>
  </si>
  <si>
    <t>Savivaldybėms priskirtiems archyviniams dokumentams tvarkyti</t>
  </si>
  <si>
    <t>Valstybės garantuojamai pirminei teisinei pagalbai teikti</t>
  </si>
  <si>
    <t>Dalyvauti rengiant ir vykdant mobilizaciją</t>
  </si>
  <si>
    <t>Neveiksnių asmenų būklės peržiūrėjimui užtikrinti</t>
  </si>
  <si>
    <t>Neformaliajam vaikų švietimui</t>
  </si>
  <si>
    <t>Praėjusių metų lėšų likutis išlaidoms dengti (37+38+39+40+41)</t>
  </si>
  <si>
    <t>Pajamos su praėjusių metų lėšų likučiu ir paskolų lėšomis (35+36+42)</t>
  </si>
  <si>
    <t>Kelmės Algirdo Lipeikos menų mokykla</t>
  </si>
  <si>
    <t>Kelmės Algirdo Lipeikos menų mokykla, iš jų:</t>
  </si>
  <si>
    <t>Kražių Žygimanto Liauksmino gimnazija</t>
  </si>
  <si>
    <t>Kelmės rajono Kražių Žygimanto Liauksmino gimnazijos direktorius</t>
  </si>
  <si>
    <t>Kelmės Algirdo Lipeikos menų mokyklos direktorius</t>
  </si>
  <si>
    <t>Kelmės rajono Kražių Žygimanto Liauksmino gimnazija, iš jų:</t>
  </si>
  <si>
    <t>Kelmės rajono Kražių Žygimanto Liauksmino gimnazija</t>
  </si>
  <si>
    <t>Kelmės Jono Graičiūno gimnazijos direktorius</t>
  </si>
  <si>
    <t>Kelmės Jono Graičiūno gimnazija</t>
  </si>
  <si>
    <t>Kelmės Jono Graičiūno gimnazija, iš jų:</t>
  </si>
  <si>
    <t xml:space="preserve">Europos Sąjungos ir kitos tarptautinės finansinės paramos </t>
  </si>
  <si>
    <t>Valstybės biudžeto projektams bendrai finansuoti</t>
  </si>
  <si>
    <t>Teritorijų planavimas (LRV nutarimu nustatyta tvarka)</t>
  </si>
  <si>
    <t>Socialinio būsto plėtra (rajono tarybos nustyta tvarka)</t>
  </si>
  <si>
    <t>Prevencinėms programoms</t>
  </si>
  <si>
    <t>Kražių M. K. Sarbievijaus kultūros centras</t>
  </si>
  <si>
    <t>Kelmės rajono vaiko ir šeimos gerovės centro direktorius</t>
  </si>
  <si>
    <t>Vaiko ir šeimos gerovės centras</t>
  </si>
  <si>
    <t xml:space="preserve">Paskolų lėšos </t>
  </si>
  <si>
    <t>Turto pajamos (19+20)</t>
  </si>
  <si>
    <t>Mokesčiai už valstybinius gamtos išteklius (21+22)</t>
  </si>
  <si>
    <t>Pajamos už prekes ir paslaugas (24+25+26)</t>
  </si>
  <si>
    <t>Gabių ir talentingų vaikų specialiųjų ugdymosi poreikių tenkinimas</t>
  </si>
  <si>
    <t>Aplinkos apsaugos  rėmimo specialioji programa (UAB „Kelmės vanduo“ kapitalui didinti)</t>
  </si>
  <si>
    <t>Erdvinių duomenų rinkinio tvarkymo funkcijai atlikti</t>
  </si>
  <si>
    <t>ugdymo procesui organizuoti ir valdyti</t>
  </si>
  <si>
    <t>švietimo pagalbai mokyklose ir pedagoginę psichologinę pagalbą teikiančiose įstaigose</t>
  </si>
  <si>
    <t>formalųjį švietimą papildančio ugdymo programoms finansuoti</t>
  </si>
  <si>
    <t>kitos</t>
  </si>
  <si>
    <t xml:space="preserve">Mokykloms skiriamos mokymo lėšos </t>
  </si>
  <si>
    <t>Savivaldybėms skiriamos mokymo lėšos</t>
  </si>
  <si>
    <t>ugdymo planui įgyvendinti ir kitoms ugdymo reikmėms</t>
  </si>
  <si>
    <t>Mokymo lėšos</t>
  </si>
  <si>
    <t xml:space="preserve">VALSTYBĖS BIUDŽETO SPECIALIOS TIKSLINĖS DOTACIJOS MOKYMO LĖŠŲ PASKIRSTYMAS </t>
  </si>
  <si>
    <t>Socialinėms paslaugoms (šeimų socialinei priežiūrai)</t>
  </si>
  <si>
    <t>Socialinių išmokų ir kompensacijų skaičiavimas ir mokėjimas (kompensacijos)</t>
  </si>
  <si>
    <t>Neformaliajam vaikų švietimui (VšĮ Kelmės sporto centras)</t>
  </si>
  <si>
    <t>1.4.1.5.1.1.</t>
  </si>
  <si>
    <t>1.4.1.5.1.2.</t>
  </si>
  <si>
    <t>1.4.1.5.1.</t>
  </si>
  <si>
    <t>1.4.4.</t>
  </si>
  <si>
    <t>1.1.1.1.</t>
  </si>
  <si>
    <t>Mokesčiai už aplinkos teršimą</t>
  </si>
  <si>
    <t>Valstybinėms (valstybės perduotoms savivaldybėms) funkcijoms atlikti:</t>
  </si>
  <si>
    <t>Turto mokesčiai (5+6+7)</t>
  </si>
  <si>
    <t>Prekių ir paslaugų mokesčiai (9)</t>
  </si>
  <si>
    <t>Kita tikslinė dotacija</t>
  </si>
  <si>
    <t>1.3.4.1.1.4.; 1.3.4.2.1.4.</t>
  </si>
  <si>
    <t xml:space="preserve">Kitos dotacijos </t>
  </si>
  <si>
    <t>1.4.1.4.</t>
  </si>
  <si>
    <t>Mokesčiai už medžiojamųjų gyvūnų išteklius</t>
  </si>
  <si>
    <t>Biudžetinių įstaigų pajamos už prekes ir paslaugas</t>
  </si>
  <si>
    <t>Pajamos už ilgalaikio ir trumpalaikio materialiojo turto nuomą</t>
  </si>
  <si>
    <t>1.4.2.1.1.1.</t>
  </si>
  <si>
    <t>1.4.2.1.2.1.</t>
  </si>
  <si>
    <t>1.4.2.1.4.1.</t>
  </si>
  <si>
    <t>1.4.2.1.6.</t>
  </si>
  <si>
    <t>1.4.2.1.6.1.</t>
  </si>
  <si>
    <t>1.4.2.1.6.2.</t>
  </si>
  <si>
    <t>Žemės realizavimo pajamos</t>
  </si>
  <si>
    <t>Kelių programų lėšos</t>
  </si>
  <si>
    <t>1.3.4.1.1.5.; 1.3.4.2.1.1.; 1.3.4.2.1.5.</t>
  </si>
  <si>
    <t>Specialioji tikslinė dotacija (12+13+14)</t>
  </si>
  <si>
    <t>Dotacijos (11+15+16)</t>
  </si>
  <si>
    <t>Rinkliavos (28+29)</t>
  </si>
  <si>
    <t>Kitos pajamos (18+23+27+30+31)</t>
  </si>
  <si>
    <t>Materialiojo ir nematerialiojo turto realizavimo pajamos (33+34)</t>
  </si>
  <si>
    <t>Mokesčiai (2+4+8)</t>
  </si>
  <si>
    <t>Visi mokesčiai, dotacijos ir pajamos (1+10+17+32)</t>
  </si>
  <si>
    <t>Tarpinstitucinio bendradarbiavimo koordinatorių pareigybėms išlaikyti</t>
  </si>
  <si>
    <t>Kito ilgalaikio turto realizavimo pajamos</t>
  </si>
  <si>
    <t>4.1.1.2. - 4.1.1.5.</t>
  </si>
  <si>
    <t>Vandentiekio ir nuotekų tinklų plėtra</t>
  </si>
  <si>
    <t>24</t>
  </si>
  <si>
    <t>28</t>
  </si>
  <si>
    <t>35</t>
  </si>
  <si>
    <t>Kelmės kultūros centras, iš jų:</t>
  </si>
  <si>
    <t>IŠ VISO ASIGNAVIMŲ (97-98)</t>
  </si>
  <si>
    <t>Viešosioms bibliotekoms dokumentams įsigyti</t>
  </si>
  <si>
    <t>Kelmės švietimo pagalbos tarnyba</t>
  </si>
  <si>
    <t>Kelmės švietimo pagalbos tarnyba, iš jų:</t>
  </si>
  <si>
    <t>Archyvinių dokumentų tvarkymas</t>
  </si>
  <si>
    <t>Pirminė teisinė pagalba</t>
  </si>
  <si>
    <t>Duomenų teikimas Valstybės suteiktos pagalbos registrui</t>
  </si>
  <si>
    <t>Žemės ūkio funkcijoms vykdyti</t>
  </si>
  <si>
    <t>Kelmės švietimo pagalbos tarnybos direktorius</t>
  </si>
  <si>
    <t xml:space="preserve">Dotacija savivaldybėms iš Europos Sąjungos, kitos tarptautinės finansinės paramos ir bendrojo finansavimo lėšos </t>
  </si>
  <si>
    <t>Vandentiekio ir nuotekų tinklų plėtra bei inventorizavimas Kelmės rajone (UAB „Kelmės vanduo“ kapitalui didinti)</t>
  </si>
  <si>
    <t>Kelmės dvaro ansamblio parko sutvarkymas ir pritaikymas visuomenės poreikiams (ES)</t>
  </si>
  <si>
    <t>Kelmės miesto Tūkstantmečio parko sutvarkymas (ES)</t>
  </si>
  <si>
    <t>Parama maisto produktais (ES)</t>
  </si>
  <si>
    <t>Parama maisto produktais (VB)</t>
  </si>
  <si>
    <t>Kompleksinės paslaugos šeimai Kelmės rajone (ES)</t>
  </si>
  <si>
    <t>Bendruomeninių vaikų globos namų ir vaikų dienos centrų tinklo plėtra (ES)</t>
  </si>
  <si>
    <t xml:space="preserve">Neformaliajam vaikų švietimui </t>
  </si>
  <si>
    <t>Kelmės Algirdo Lipeikos meno mokyklos Choreografijos skyriaus modernizavimas (ES)</t>
  </si>
  <si>
    <t>Integralios pagalbos į namus plėtra Kelmės rajone (ES)</t>
  </si>
  <si>
    <t>Ugdymo programų įgyvendinimas (VšĮ „Vedika“)</t>
  </si>
  <si>
    <t>Konsultacijos mokiniams, patiriantiems mokymosi sunkumų, finansuoti</t>
  </si>
  <si>
    <t>Savivaldybės administracija (VšĮ vaikų ugdymo centras „Vedika“)</t>
  </si>
  <si>
    <t>Savivaldybės administracija (VšĮ Kelmės sporto centras)</t>
  </si>
  <si>
    <t>4 priedas</t>
  </si>
  <si>
    <t>Kelių inventorizacijai</t>
  </si>
  <si>
    <t>Atliekų surinkimas ir tvarkymas (vietinės rinkliavos)</t>
  </si>
  <si>
    <t>VšĮ Kelmės PSPC DOTS išlaidoms kompensuoti</t>
  </si>
  <si>
    <t>5 priedas</t>
  </si>
  <si>
    <t>Suaugusiųjų neformaliojo švietimo ir tęstinio mokymosi organizavimas</t>
  </si>
  <si>
    <t>Praėjusių metų lėšų likutis</t>
  </si>
  <si>
    <t>Specialiosios tikslinės dotacijos</t>
  </si>
  <si>
    <t xml:space="preserve">Gyventojų pajamų mokestis (pagal FRĮ 5 priedą) </t>
  </si>
  <si>
    <t>GPM, mokamas už pajamas, gautas iš veiklos, kuria verčiamasi turint verslo liudijimą</t>
  </si>
  <si>
    <t>Gyventojų pajamų mokestis:</t>
  </si>
  <si>
    <t>Asmeninei pagalbai teikti ir administruoti</t>
  </si>
  <si>
    <t>Kelmės miesto apšvietimo tinklų modernizavimas (ES)</t>
  </si>
  <si>
    <t>Saulės fotovoltinės elektrinės įrengimas ant Kelmės rajono savivaldybės administracijos pastato stogo (VB)</t>
  </si>
  <si>
    <t>Saulės fotovoltinės elektrinės įrengimas ant Kelmės rajono savivaldybės administracijos Šaukėnų seniūnijos pastato stogo (VB)</t>
  </si>
  <si>
    <t>Gyvenamųjų būstų prijungimas prie esamų centralizuotų nuotekų tvarkymo sistemų Kelmės mieste (UAB „Kelmės vanduo“ kapitalui didinti)</t>
  </si>
  <si>
    <t>Fotovoltinės elektrinės įrengimas Kražių Motiejaus Kazimiero Sarbievijaus kultūros centro teritorijoje (VB)</t>
  </si>
  <si>
    <t>Palūkanos</t>
  </si>
  <si>
    <t>Paskolų grąžinimas</t>
  </si>
  <si>
    <t>mokyklos bibliotekos darbuotojams išlaikyti</t>
  </si>
  <si>
    <t>skaitmeninio ugdymo plėtrai</t>
  </si>
  <si>
    <t>Akredituotai vaikų dienos socialinei priežiūrai organizuoti, teikti ir administruoti</t>
  </si>
  <si>
    <t>Socialinių paslaugų srities darbuotojų minimaliems pareiginės algos pastoviosios dalies koeficientams didinti</t>
  </si>
  <si>
    <t>Būstams pritaikyti neįgaliesiems</t>
  </si>
  <si>
    <t>IŠ VISO ASIGNAVIMŲ (45-46)</t>
  </si>
  <si>
    <t>Išmokos už komunalines išlaidas nedirbantiems, neįgaliesiems, auginantiems vaikus</t>
  </si>
  <si>
    <t xml:space="preserve">Liolių MSNA ir valstybinių melioracijos sistemų bei statinių rekonstravimas </t>
  </si>
  <si>
    <t>Ugniagesių komandos patalpų įrengimas Užvenčio sen.</t>
  </si>
  <si>
    <t>Beglobių gyvūnų priežiūra</t>
  </si>
  <si>
    <t>Kapinių skaitmeninimas-inventorizacija</t>
  </si>
  <si>
    <t>Aplinką žalojančių objektų likvidavimas</t>
  </si>
  <si>
    <t>Vandens tinklų plėtra (projektavimas)</t>
  </si>
  <si>
    <t xml:space="preserve">Kompensacijų skyrimas pastatų savininkams </t>
  </si>
  <si>
    <t xml:space="preserve"> ES ir kitos tarptautinės paramos lėšos, VB lėšos projektams bendrai finansuoti</t>
  </si>
  <si>
    <t>Vaiko ir šeimos gerovės centras, iš jų:</t>
  </si>
  <si>
    <t>Visuomenės sveikatos biuras, iš jų:</t>
  </si>
  <si>
    <t xml:space="preserve">                                                                    2023 m. sausio 26 d. sprendimo Nr.T-</t>
  </si>
  <si>
    <t>KELMĖS RAJONO SAVIVALDYBĖS 2023 METŲ BIUDŽETO PAJAMOS</t>
  </si>
  <si>
    <t xml:space="preserve">                   2023 m. sausio 26 d. sprendimo Nr.T-</t>
  </si>
  <si>
    <t>KELMĖS RAJONO SAVIVALDYBĖS BIUDŽETINIŲ ĮSTAIGŲ PAJAMOS UŽ PREKES IR PASLAUGAS 2023 METAIS</t>
  </si>
  <si>
    <t>Kelmės rajono finansinės apskaitos centro direktorius</t>
  </si>
  <si>
    <t>2023 m. sausio 26 d. sprendimo Nr. T-</t>
  </si>
  <si>
    <t>KELMĖS RAJONO SAVIVALDYBĖS 2023 METŲ ASIGNAVIMŲ VALDYTOJŲ SĄRAŠAS</t>
  </si>
  <si>
    <t>Mokymo lėšos ukrainiečiams</t>
  </si>
  <si>
    <t>Ugdymo, maitinimo ir pavėžėjimo lėšos socialinę riziką patiriančių vaikų ikimokykliniam ugdymui užtikrinti</t>
  </si>
  <si>
    <t>Kompleksinėms paslaugoms šeimai organizuoti</t>
  </si>
  <si>
    <t>Ugdymosi sąlygų sudarymas ir neformalaus švietimo įgyvendinimas (Karjeros specialistų tinklo vystymas)</t>
  </si>
  <si>
    <t>Nuotekų tinklų plėtra Kelmės aglomeracijoje (II etapas) (UAB „Kelmės vanduo“ kapitalui didinti)</t>
  </si>
  <si>
    <t>Kelmės  dvaro rūmų vidaus  patalpų restauravimas ir naujos ekspozicijos įrengimas</t>
  </si>
  <si>
    <t xml:space="preserve">Viešųjų darbų vykdymas </t>
  </si>
  <si>
    <t>Socialinės priežiūros šeimoms teikimas</t>
  </si>
  <si>
    <t>Kompensacijoms už būsto suteikimą užsieniečiams, pasitraukusiems iš Ukrainos dėl Rusijos Federacijos karinės agresijos Ukrainoje</t>
  </si>
  <si>
    <t>Turizmo funkcijai vykdyti - vykdytojas VšĮ Tytuvėnų piligrimų centras</t>
  </si>
  <si>
    <t>Sakralinis turizmas - vykdytojas VšĮ Tytuvėnų piligrimų centras</t>
  </si>
  <si>
    <t>Turizmo funkcijai vykdyti - vykdytojas VšĮ Kelmės verslo informacijos ir turizmo centras</t>
  </si>
  <si>
    <t>Melioracijos statinių gyvenamosiose ir gamybinėse teritorijose remontas</t>
  </si>
  <si>
    <t>Dalyvaujamasis biudžetas</t>
  </si>
  <si>
    <t xml:space="preserve">Kelmės rajono verslo teritorijos Pagojo k. infrastruktūros sutvarkymas </t>
  </si>
  <si>
    <t>Kelmės raj. atsinaujinančių išteklių energijos naudojimo plėtros veiksmų planas</t>
  </si>
  <si>
    <t>Savivaldybės administracijai ir seniūnijoms priklausančių patalpų atnaujinimas (turto realizavimo pajamos)</t>
  </si>
  <si>
    <t>Tytuvėnų atliekų priėmimo aikštelės rekonstrukcja (vykdytojas VšĮ ŠRATC)</t>
  </si>
  <si>
    <t>Kelmės r. vandentvarkos infrastruktūros gerinimas (UAB „Kelmės vanduo“ kapitalui didinti)</t>
  </si>
  <si>
    <t>Jaunimo vasaros užimtumas</t>
  </si>
  <si>
    <t>Dainų švenčių tradicijų puoselėjimas</t>
  </si>
  <si>
    <t>Sporto paskirties inžinerinio statinio (teniso kortai) statyba</t>
  </si>
  <si>
    <t>Kelmės rajono savivaldybės kontrolierius</t>
  </si>
  <si>
    <t>Saulės fotovoltinės elektrinės įrengimas biudžetinėje įstaigoje Liolių socialinės globos namuose (VB)</t>
  </si>
  <si>
    <t>Tytuvėnų piligrimų centro konferencijų erdvių sukūrimas, skatinant  bendruomeniškumą ir piligrimystę</t>
  </si>
  <si>
    <t>Sveikatos priežiūros specialistų išlaidoms kompensuoti</t>
  </si>
  <si>
    <t xml:space="preserve">Paslaugų ir asmenų aptarnavimo kokybės gerinimas Kelmės rajono savivaldybėje </t>
  </si>
  <si>
    <t>Savivaldybės valdymo išlaidos (socialinės paramos administravimo išlaidos)</t>
  </si>
  <si>
    <t xml:space="preserve">Mokyklų stiprinimas ir mokinių pasiekimų gerinimas </t>
  </si>
  <si>
    <t>Akredituotai socialinei reabilitacijai neįgaliesiems bendruomenėje organizuoti, teikti ir administruoti</t>
  </si>
  <si>
    <t>Socialinėms paslaugoms (akredituotos įstaigos)</t>
  </si>
  <si>
    <t>Šeimynų finansavimas, vaikų dienos centrai</t>
  </si>
  <si>
    <t>Saulės fotovoltinės elektrinės įrengimas ant  Kelmės ligoninės pastato stogo (VB)</t>
  </si>
  <si>
    <t xml:space="preserve">Vandens tinklų plėtra </t>
  </si>
  <si>
    <t>ukrainiečių ugdymui</t>
  </si>
  <si>
    <t>KELMĖS RAJONO SAVIVALDYBĖS 2023 METŲ ASIGNAVIMAI PAGAL ĮSTAIGAS</t>
  </si>
  <si>
    <t>Administracijos direktoriaus rezervas - iki 2023-03-31, nuo 2023-04-01 - Mero rezervas</t>
  </si>
  <si>
    <t>6 priedas</t>
  </si>
  <si>
    <t>KELMĖS RAJONO SAVIVALDYBĖS 2023 METŲ ASIGNAVIMAI PAGAL PROGRAMAS IR  ĮSTAIGAS</t>
  </si>
  <si>
    <t>Kelmės rajono finansinės apskaitos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</si>
</sst>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;"/>
    <numFmt numFmtId="166" formatCode="0.00;;"/>
    <numFmt numFmtId="167" formatCode="#,##0.0"/>
  </numFmts>
  <fonts count="27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7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i/>
      <sz val="10"/>
      <name val="Times New Roman Baltic"/>
      <charset val="186"/>
    </font>
    <font>
      <b/>
      <sz val="10"/>
      <color theme="1"/>
      <name val="Times New Roman"/>
      <family val="1"/>
      <charset val="186"/>
    </font>
    <font>
      <sz val="8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25" fillId="6" borderId="58">
      <alignment horizontal="right" vertical="center" wrapText="1"/>
    </xf>
  </cellStyleXfs>
  <cellXfs count="352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64" fontId="0" fillId="0" borderId="0" xfId="0" applyNumberFormat="1"/>
    <xf numFmtId="0" fontId="2" fillId="0" borderId="1" xfId="0" applyFont="1" applyBorder="1" applyAlignment="1">
      <alignment wrapText="1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" fillId="0" borderId="3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164" fontId="0" fillId="0" borderId="5" xfId="0" applyNumberFormat="1" applyBorder="1"/>
    <xf numFmtId="0" fontId="0" fillId="0" borderId="5" xfId="0" applyBorder="1"/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10" fillId="0" borderId="1" xfId="0" applyFont="1" applyBorder="1"/>
    <xf numFmtId="3" fontId="3" fillId="0" borderId="4" xfId="0" applyNumberFormat="1" applyFont="1" applyBorder="1"/>
    <xf numFmtId="3" fontId="3" fillId="0" borderId="1" xfId="0" applyNumberFormat="1" applyFont="1" applyBorder="1"/>
    <xf numFmtId="3" fontId="0" fillId="0" borderId="1" xfId="0" applyNumberFormat="1" applyBorder="1"/>
    <xf numFmtId="3" fontId="4" fillId="0" borderId="1" xfId="0" applyNumberFormat="1" applyFont="1" applyBorder="1"/>
    <xf numFmtId="3" fontId="0" fillId="0" borderId="0" xfId="0" applyNumberFormat="1"/>
    <xf numFmtId="0" fontId="8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left" vertical="top"/>
    </xf>
    <xf numFmtId="1" fontId="12" fillId="0" borderId="1" xfId="0" applyNumberFormat="1" applyFont="1" applyBorder="1" applyAlignment="1">
      <alignment horizontal="left" vertical="top"/>
    </xf>
    <xf numFmtId="1" fontId="12" fillId="0" borderId="1" xfId="0" applyNumberFormat="1" applyFont="1" applyBorder="1" applyAlignment="1">
      <alignment horizontal="left" vertical="top" wrapText="1"/>
    </xf>
    <xf numFmtId="1" fontId="11" fillId="0" borderId="1" xfId="0" applyNumberFormat="1" applyFont="1" applyBorder="1"/>
    <xf numFmtId="1" fontId="11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wrapText="1"/>
    </xf>
    <xf numFmtId="0" fontId="4" fillId="0" borderId="1" xfId="1" applyBorder="1" applyAlignment="1">
      <alignment wrapText="1"/>
    </xf>
    <xf numFmtId="0" fontId="4" fillId="0" borderId="1" xfId="1" applyBorder="1"/>
    <xf numFmtId="0" fontId="4" fillId="0" borderId="14" xfId="1" applyBorder="1" applyAlignment="1">
      <alignment wrapText="1"/>
    </xf>
    <xf numFmtId="3" fontId="4" fillId="0" borderId="4" xfId="1" applyNumberFormat="1" applyBorder="1"/>
    <xf numFmtId="3" fontId="4" fillId="0" borderId="1" xfId="1" applyNumberFormat="1" applyBorder="1"/>
    <xf numFmtId="0" fontId="4" fillId="0" borderId="4" xfId="1" applyBorder="1" applyAlignment="1">
      <alignment wrapText="1"/>
    </xf>
    <xf numFmtId="49" fontId="8" fillId="0" borderId="0" xfId="0" applyNumberFormat="1" applyFont="1"/>
    <xf numFmtId="0" fontId="8" fillId="0" borderId="0" xfId="0" applyFont="1"/>
    <xf numFmtId="49" fontId="15" fillId="0" borderId="1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vertical="center"/>
    </xf>
    <xf numFmtId="0" fontId="18" fillId="0" borderId="0" xfId="0" applyFont="1"/>
    <xf numFmtId="0" fontId="8" fillId="0" borderId="5" xfId="0" applyFont="1" applyBorder="1"/>
    <xf numFmtId="1" fontId="8" fillId="0" borderId="0" xfId="0" applyNumberFormat="1" applyFont="1"/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/>
    </xf>
    <xf numFmtId="0" fontId="4" fillId="0" borderId="36" xfId="1" applyBorder="1"/>
    <xf numFmtId="0" fontId="4" fillId="0" borderId="14" xfId="1" applyBorder="1"/>
    <xf numFmtId="0" fontId="4" fillId="0" borderId="4" xfId="1" applyBorder="1"/>
    <xf numFmtId="0" fontId="6" fillId="0" borderId="1" xfId="1" applyFont="1" applyBorder="1"/>
    <xf numFmtId="4" fontId="0" fillId="0" borderId="0" xfId="0" applyNumberFormat="1"/>
    <xf numFmtId="0" fontId="4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4" fontId="3" fillId="0" borderId="0" xfId="0" applyNumberFormat="1" applyFont="1"/>
    <xf numFmtId="0" fontId="0" fillId="0" borderId="0" xfId="0" applyAlignment="1">
      <alignment horizontal="left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2" xfId="0" applyBorder="1"/>
    <xf numFmtId="0" fontId="1" fillId="0" borderId="1" xfId="1" applyFont="1" applyBorder="1" applyAlignment="1">
      <alignment wrapText="1"/>
    </xf>
    <xf numFmtId="165" fontId="8" fillId="0" borderId="0" xfId="0" applyNumberFormat="1" applyFont="1"/>
    <xf numFmtId="0" fontId="1" fillId="0" borderId="1" xfId="1" applyFont="1" applyBorder="1"/>
    <xf numFmtId="0" fontId="1" fillId="0" borderId="1" xfId="1" applyFont="1" applyBorder="1" applyAlignment="1">
      <alignment horizontal="left" wrapText="1"/>
    </xf>
    <xf numFmtId="49" fontId="8" fillId="0" borderId="1" xfId="0" applyNumberFormat="1" applyFont="1" applyBorder="1"/>
    <xf numFmtId="0" fontId="1" fillId="0" borderId="14" xfId="1" applyFont="1" applyBorder="1" applyAlignment="1">
      <alignment wrapText="1"/>
    </xf>
    <xf numFmtId="0" fontId="1" fillId="0" borderId="4" xfId="1" applyFont="1" applyBorder="1" applyAlignment="1">
      <alignment wrapText="1"/>
    </xf>
    <xf numFmtId="0" fontId="1" fillId="0" borderId="1" xfId="0" applyFont="1" applyBorder="1"/>
    <xf numFmtId="0" fontId="2" fillId="0" borderId="1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1" fillId="0" borderId="10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3" fontId="6" fillId="0" borderId="1" xfId="0" applyNumberFormat="1" applyFont="1" applyBorder="1"/>
    <xf numFmtId="4" fontId="3" fillId="0" borderId="1" xfId="0" applyNumberFormat="1" applyFont="1" applyBorder="1"/>
    <xf numFmtId="3" fontId="3" fillId="0" borderId="1" xfId="1" applyNumberFormat="1" applyFont="1" applyBorder="1"/>
    <xf numFmtId="4" fontId="3" fillId="5" borderId="1" xfId="0" applyNumberFormat="1" applyFont="1" applyFill="1" applyBorder="1"/>
    <xf numFmtId="4" fontId="4" fillId="0" borderId="1" xfId="0" applyNumberFormat="1" applyFont="1" applyBorder="1"/>
    <xf numFmtId="4" fontId="3" fillId="2" borderId="1" xfId="0" applyNumberFormat="1" applyFont="1" applyFill="1" applyBorder="1"/>
    <xf numFmtId="166" fontId="21" fillId="0" borderId="27" xfId="0" applyNumberFormat="1" applyFont="1" applyBorder="1"/>
    <xf numFmtId="166" fontId="21" fillId="0" borderId="4" xfId="0" applyNumberFormat="1" applyFont="1" applyBorder="1"/>
    <xf numFmtId="166" fontId="14" fillId="0" borderId="27" xfId="0" applyNumberFormat="1" applyFont="1" applyBorder="1"/>
    <xf numFmtId="166" fontId="14" fillId="0" borderId="1" xfId="0" applyNumberFormat="1" applyFont="1" applyBorder="1"/>
    <xf numFmtId="166" fontId="21" fillId="0" borderId="1" xfId="0" applyNumberFormat="1" applyFont="1" applyBorder="1"/>
    <xf numFmtId="166" fontId="9" fillId="0" borderId="27" xfId="0" applyNumberFormat="1" applyFont="1" applyBorder="1"/>
    <xf numFmtId="166" fontId="9" fillId="0" borderId="3" xfId="0" applyNumberFormat="1" applyFont="1" applyBorder="1"/>
    <xf numFmtId="166" fontId="21" fillId="0" borderId="16" xfId="0" applyNumberFormat="1" applyFont="1" applyBorder="1"/>
    <xf numFmtId="166" fontId="21" fillId="0" borderId="17" xfId="0" applyNumberFormat="1" applyFont="1" applyBorder="1"/>
    <xf numFmtId="166" fontId="17" fillId="0" borderId="16" xfId="0" applyNumberFormat="1" applyFont="1" applyBorder="1"/>
    <xf numFmtId="166" fontId="14" fillId="0" borderId="44" xfId="0" applyNumberFormat="1" applyFont="1" applyBorder="1"/>
    <xf numFmtId="166" fontId="14" fillId="0" borderId="3" xfId="0" applyNumberFormat="1" applyFont="1" applyBorder="1"/>
    <xf numFmtId="166" fontId="17" fillId="4" borderId="15" xfId="0" applyNumberFormat="1" applyFont="1" applyFill="1" applyBorder="1"/>
    <xf numFmtId="166" fontId="17" fillId="4" borderId="20" xfId="0" applyNumberFormat="1" applyFont="1" applyFill="1" applyBorder="1"/>
    <xf numFmtId="166" fontId="14" fillId="0" borderId="13" xfId="0" applyNumberFormat="1" applyFont="1" applyBorder="1"/>
    <xf numFmtId="166" fontId="14" fillId="0" borderId="12" xfId="0" applyNumberFormat="1" applyFont="1" applyBorder="1"/>
    <xf numFmtId="166" fontId="14" fillId="0" borderId="35" xfId="0" applyNumberFormat="1" applyFont="1" applyBorder="1"/>
    <xf numFmtId="166" fontId="21" fillId="0" borderId="32" xfId="0" applyNumberFormat="1" applyFont="1" applyBorder="1"/>
    <xf numFmtId="166" fontId="19" fillId="0" borderId="27" xfId="0" applyNumberFormat="1" applyFont="1" applyBorder="1"/>
    <xf numFmtId="166" fontId="19" fillId="0" borderId="35" xfId="0" applyNumberFormat="1" applyFont="1" applyBorder="1"/>
    <xf numFmtId="166" fontId="0" fillId="0" borderId="45" xfId="0" applyNumberFormat="1" applyBorder="1"/>
    <xf numFmtId="166" fontId="19" fillId="0" borderId="10" xfId="0" applyNumberFormat="1" applyFont="1" applyBorder="1"/>
    <xf numFmtId="166" fontId="9" fillId="0" borderId="26" xfId="0" applyNumberFormat="1" applyFont="1" applyBorder="1"/>
    <xf numFmtId="166" fontId="9" fillId="0" borderId="35" xfId="0" applyNumberFormat="1" applyFont="1" applyBorder="1"/>
    <xf numFmtId="166" fontId="21" fillId="0" borderId="13" xfId="0" applyNumberFormat="1" applyFont="1" applyBorder="1"/>
    <xf numFmtId="166" fontId="21" fillId="0" borderId="35" xfId="0" applyNumberFormat="1" applyFont="1" applyBorder="1"/>
    <xf numFmtId="166" fontId="9" fillId="0" borderId="10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0" xfId="0" applyFont="1"/>
    <xf numFmtId="3" fontId="1" fillId="0" borderId="1" xfId="0" applyNumberFormat="1" applyFont="1" applyBorder="1"/>
    <xf numFmtId="166" fontId="21" fillId="0" borderId="19" xfId="0" applyNumberFormat="1" applyFont="1" applyBorder="1"/>
    <xf numFmtId="166" fontId="17" fillId="4" borderId="19" xfId="0" applyNumberFormat="1" applyFont="1" applyFill="1" applyBorder="1"/>
    <xf numFmtId="166" fontId="14" fillId="0" borderId="26" xfId="0" applyNumberFormat="1" applyFont="1" applyBorder="1"/>
    <xf numFmtId="166" fontId="14" fillId="0" borderId="34" xfId="0" applyNumberFormat="1" applyFont="1" applyBorder="1"/>
    <xf numFmtId="166" fontId="14" fillId="0" borderId="16" xfId="0" applyNumberFormat="1" applyFont="1" applyBorder="1"/>
    <xf numFmtId="166" fontId="14" fillId="0" borderId="40" xfId="0" applyNumberFormat="1" applyFont="1" applyBorder="1"/>
    <xf numFmtId="166" fontId="8" fillId="0" borderId="21" xfId="0" applyNumberFormat="1" applyFont="1" applyBorder="1" applyAlignment="1">
      <alignment horizontal="right"/>
    </xf>
    <xf numFmtId="166" fontId="8" fillId="3" borderId="7" xfId="0" applyNumberFormat="1" applyFont="1" applyFill="1" applyBorder="1"/>
    <xf numFmtId="166" fontId="8" fillId="0" borderId="23" xfId="0" applyNumberFormat="1" applyFont="1" applyBorder="1" applyAlignment="1">
      <alignment horizontal="right" vertical="top"/>
    </xf>
    <xf numFmtId="166" fontId="18" fillId="0" borderId="23" xfId="0" applyNumberFormat="1" applyFont="1" applyBorder="1" applyAlignment="1">
      <alignment horizontal="right" wrapText="1"/>
    </xf>
    <xf numFmtId="166" fontId="14" fillId="0" borderId="10" xfId="0" applyNumberFormat="1" applyFont="1" applyBorder="1"/>
    <xf numFmtId="166" fontId="8" fillId="0" borderId="29" xfId="0" applyNumberFormat="1" applyFont="1" applyBorder="1" applyAlignment="1">
      <alignment horizontal="right" vertical="top"/>
    </xf>
    <xf numFmtId="166" fontId="8" fillId="0" borderId="23" xfId="0" applyNumberFormat="1" applyFont="1" applyBorder="1" applyAlignment="1">
      <alignment horizontal="right"/>
    </xf>
    <xf numFmtId="166" fontId="8" fillId="0" borderId="29" xfId="0" applyNumberFormat="1" applyFont="1" applyBorder="1" applyAlignment="1">
      <alignment horizontal="right"/>
    </xf>
    <xf numFmtId="166" fontId="8" fillId="0" borderId="30" xfId="0" applyNumberFormat="1" applyFont="1" applyBorder="1"/>
    <xf numFmtId="166" fontId="10" fillId="0" borderId="24" xfId="0" applyNumberFormat="1" applyFont="1" applyBorder="1" applyAlignment="1">
      <alignment horizontal="right"/>
    </xf>
    <xf numFmtId="166" fontId="17" fillId="0" borderId="19" xfId="0" applyNumberFormat="1" applyFont="1" applyBorder="1"/>
    <xf numFmtId="166" fontId="8" fillId="0" borderId="7" xfId="0" applyNumberFormat="1" applyFont="1" applyBorder="1" applyAlignment="1">
      <alignment horizontal="right"/>
    </xf>
    <xf numFmtId="166" fontId="8" fillId="3" borderId="36" xfId="0" applyNumberFormat="1" applyFont="1" applyFill="1" applyBorder="1" applyAlignment="1">
      <alignment horizontal="left" wrapText="1"/>
    </xf>
    <xf numFmtId="166" fontId="21" fillId="0" borderId="33" xfId="0" applyNumberFormat="1" applyFont="1" applyBorder="1"/>
    <xf numFmtId="166" fontId="8" fillId="0" borderId="22" xfId="0" applyNumberFormat="1" applyFont="1" applyBorder="1" applyAlignment="1">
      <alignment horizontal="right"/>
    </xf>
    <xf numFmtId="166" fontId="18" fillId="0" borderId="22" xfId="0" applyNumberFormat="1" applyFont="1" applyBorder="1" applyAlignment="1">
      <alignment horizontal="right" wrapText="1"/>
    </xf>
    <xf numFmtId="166" fontId="8" fillId="3" borderId="22" xfId="0" applyNumberFormat="1" applyFont="1" applyFill="1" applyBorder="1"/>
    <xf numFmtId="166" fontId="21" fillId="0" borderId="26" xfId="0" applyNumberFormat="1" applyFont="1" applyBorder="1"/>
    <xf numFmtId="166" fontId="18" fillId="0" borderId="31" xfId="0" applyNumberFormat="1" applyFont="1" applyBorder="1" applyAlignment="1">
      <alignment horizontal="right"/>
    </xf>
    <xf numFmtId="166" fontId="18" fillId="0" borderId="31" xfId="0" applyNumberFormat="1" applyFont="1" applyBorder="1" applyAlignment="1">
      <alignment horizontal="right" wrapText="1"/>
    </xf>
    <xf numFmtId="166" fontId="18" fillId="0" borderId="5" xfId="0" applyNumberFormat="1" applyFont="1" applyBorder="1" applyAlignment="1">
      <alignment horizontal="right"/>
    </xf>
    <xf numFmtId="166" fontId="18" fillId="0" borderId="28" xfId="0" applyNumberFormat="1" applyFont="1" applyBorder="1" applyAlignment="1">
      <alignment horizontal="right"/>
    </xf>
    <xf numFmtId="166" fontId="18" fillId="0" borderId="22" xfId="0" applyNumberFormat="1" applyFont="1" applyBorder="1" applyAlignment="1">
      <alignment horizontal="right"/>
    </xf>
    <xf numFmtId="166" fontId="18" fillId="0" borderId="1" xfId="0" applyNumberFormat="1" applyFont="1" applyBorder="1" applyAlignment="1">
      <alignment horizontal="right" wrapText="1"/>
    </xf>
    <xf numFmtId="166" fontId="18" fillId="0" borderId="21" xfId="0" applyNumberFormat="1" applyFont="1" applyBorder="1" applyAlignment="1">
      <alignment horizontal="right" wrapText="1"/>
    </xf>
    <xf numFmtId="166" fontId="18" fillId="0" borderId="5" xfId="0" applyNumberFormat="1" applyFont="1" applyBorder="1" applyAlignment="1">
      <alignment horizontal="right" wrapText="1"/>
    </xf>
    <xf numFmtId="166" fontId="23" fillId="0" borderId="1" xfId="1" applyNumberFormat="1" applyFont="1" applyBorder="1" applyAlignment="1">
      <alignment horizontal="right" vertical="center" wrapText="1"/>
    </xf>
    <xf numFmtId="166" fontId="8" fillId="3" borderId="28" xfId="0" applyNumberFormat="1" applyFont="1" applyFill="1" applyBorder="1"/>
    <xf numFmtId="166" fontId="8" fillId="0" borderId="28" xfId="0" applyNumberFormat="1" applyFont="1" applyBorder="1" applyAlignment="1">
      <alignment horizontal="right"/>
    </xf>
    <xf numFmtId="166" fontId="8" fillId="3" borderId="5" xfId="0" applyNumberFormat="1" applyFont="1" applyFill="1" applyBorder="1" applyAlignment="1">
      <alignment horizontal="left" wrapText="1"/>
    </xf>
    <xf numFmtId="166" fontId="8" fillId="3" borderId="22" xfId="0" applyNumberFormat="1" applyFont="1" applyFill="1" applyBorder="1" applyAlignment="1">
      <alignment horizontal="left"/>
    </xf>
    <xf numFmtId="166" fontId="8" fillId="3" borderId="23" xfId="0" applyNumberFormat="1" applyFont="1" applyFill="1" applyBorder="1" applyAlignment="1">
      <alignment horizontal="left" wrapText="1"/>
    </xf>
    <xf numFmtId="166" fontId="18" fillId="0" borderId="23" xfId="0" applyNumberFormat="1" applyFont="1" applyBorder="1" applyAlignment="1">
      <alignment horizontal="right"/>
    </xf>
    <xf numFmtId="166" fontId="18" fillId="0" borderId="29" xfId="0" applyNumberFormat="1" applyFont="1" applyBorder="1" applyAlignment="1">
      <alignment horizontal="right"/>
    </xf>
    <xf numFmtId="166" fontId="8" fillId="3" borderId="5" xfId="0" applyNumberFormat="1" applyFont="1" applyFill="1" applyBorder="1" applyAlignment="1">
      <alignment horizontal="left"/>
    </xf>
    <xf numFmtId="166" fontId="21" fillId="0" borderId="10" xfId="0" applyNumberFormat="1" applyFont="1" applyBorder="1"/>
    <xf numFmtId="166" fontId="19" fillId="0" borderId="13" xfId="0" applyNumberFormat="1" applyFont="1" applyBorder="1"/>
    <xf numFmtId="166" fontId="18" fillId="0" borderId="11" xfId="0" applyNumberFormat="1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 wrapText="1"/>
    </xf>
    <xf numFmtId="166" fontId="18" fillId="0" borderId="29" xfId="0" applyNumberFormat="1" applyFont="1" applyBorder="1" applyAlignment="1">
      <alignment horizontal="right" wrapText="1"/>
    </xf>
    <xf numFmtId="166" fontId="8" fillId="3" borderId="27" xfId="0" applyNumberFormat="1" applyFont="1" applyFill="1" applyBorder="1" applyAlignment="1">
      <alignment horizontal="left"/>
    </xf>
    <xf numFmtId="166" fontId="0" fillId="0" borderId="26" xfId="0" applyNumberFormat="1" applyBorder="1"/>
    <xf numFmtId="166" fontId="18" fillId="0" borderId="27" xfId="0" applyNumberFormat="1" applyFont="1" applyBorder="1" applyAlignment="1">
      <alignment horizontal="right"/>
    </xf>
    <xf numFmtId="166" fontId="0" fillId="0" borderId="44" xfId="0" applyNumberFormat="1" applyBorder="1"/>
    <xf numFmtId="166" fontId="8" fillId="3" borderId="26" xfId="0" applyNumberFormat="1" applyFont="1" applyFill="1" applyBorder="1" applyAlignment="1">
      <alignment horizontal="left"/>
    </xf>
    <xf numFmtId="166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166" fontId="0" fillId="0" borderId="27" xfId="0" applyNumberFormat="1" applyBorder="1"/>
    <xf numFmtId="166" fontId="8" fillId="0" borderId="39" xfId="0" applyNumberFormat="1" applyFont="1" applyBorder="1" applyAlignment="1">
      <alignment horizontal="right"/>
    </xf>
    <xf numFmtId="166" fontId="8" fillId="0" borderId="22" xfId="0" applyNumberFormat="1" applyFont="1" applyBorder="1" applyAlignment="1">
      <alignment horizontal="right" vertical="center"/>
    </xf>
    <xf numFmtId="166" fontId="8" fillId="3" borderId="22" xfId="0" applyNumberFormat="1" applyFont="1" applyFill="1" applyBorder="1" applyAlignment="1">
      <alignment horizontal="left" wrapText="1"/>
    </xf>
    <xf numFmtId="166" fontId="8" fillId="3" borderId="5" xfId="0" applyNumberFormat="1" applyFont="1" applyFill="1" applyBorder="1"/>
    <xf numFmtId="166" fontId="18" fillId="0" borderId="28" xfId="0" applyNumberFormat="1" applyFont="1" applyBorder="1" applyAlignment="1">
      <alignment horizontal="right" wrapText="1"/>
    </xf>
    <xf numFmtId="166" fontId="8" fillId="3" borderId="41" xfId="0" applyNumberFormat="1" applyFont="1" applyFill="1" applyBorder="1"/>
    <xf numFmtId="166" fontId="8" fillId="0" borderId="25" xfId="0" applyNumberFormat="1" applyFont="1" applyBorder="1" applyAlignment="1">
      <alignment horizontal="right"/>
    </xf>
    <xf numFmtId="166" fontId="8" fillId="0" borderId="48" xfId="0" applyNumberFormat="1" applyFont="1" applyBorder="1"/>
    <xf numFmtId="166" fontId="10" fillId="0" borderId="51" xfId="0" applyNumberFormat="1" applyFont="1" applyBorder="1" applyAlignment="1">
      <alignment horizontal="right"/>
    </xf>
    <xf numFmtId="166" fontId="8" fillId="4" borderId="15" xfId="0" applyNumberFormat="1" applyFont="1" applyFill="1" applyBorder="1"/>
    <xf numFmtId="166" fontId="10" fillId="4" borderId="24" xfId="0" applyNumberFormat="1" applyFont="1" applyFill="1" applyBorder="1" applyAlignment="1">
      <alignment horizontal="right"/>
    </xf>
    <xf numFmtId="166" fontId="8" fillId="0" borderId="15" xfId="0" applyNumberFormat="1" applyFont="1" applyBorder="1"/>
    <xf numFmtId="166" fontId="8" fillId="0" borderId="6" xfId="0" applyNumberFormat="1" applyFont="1" applyBorder="1" applyAlignment="1">
      <alignment wrapText="1"/>
    </xf>
    <xf numFmtId="166" fontId="18" fillId="0" borderId="11" xfId="0" applyNumberFormat="1" applyFont="1" applyBorder="1" applyAlignment="1">
      <alignment horizontal="right" vertical="top" wrapText="1"/>
    </xf>
    <xf numFmtId="166" fontId="18" fillId="0" borderId="22" xfId="2" applyNumberFormat="1" applyFont="1" applyFill="1" applyBorder="1">
      <alignment horizontal="right" vertical="center" wrapText="1"/>
    </xf>
    <xf numFmtId="0" fontId="15" fillId="0" borderId="30" xfId="0" applyFont="1" applyBorder="1" applyAlignment="1">
      <alignment horizontal="center" vertical="center" wrapText="1"/>
    </xf>
    <xf numFmtId="166" fontId="14" fillId="0" borderId="5" xfId="0" applyNumberFormat="1" applyFont="1" applyBorder="1"/>
    <xf numFmtId="166" fontId="21" fillId="0" borderId="5" xfId="0" applyNumberFormat="1" applyFont="1" applyBorder="1"/>
    <xf numFmtId="166" fontId="21" fillId="0" borderId="59" xfId="0" applyNumberFormat="1" applyFont="1" applyBorder="1"/>
    <xf numFmtId="166" fontId="19" fillId="0" borderId="5" xfId="0" applyNumberFormat="1" applyFont="1" applyBorder="1"/>
    <xf numFmtId="166" fontId="9" fillId="0" borderId="5" xfId="0" applyNumberFormat="1" applyFont="1" applyBorder="1"/>
    <xf numFmtId="166" fontId="14" fillId="0" borderId="0" xfId="0" applyNumberFormat="1" applyFont="1"/>
    <xf numFmtId="166" fontId="21" fillId="0" borderId="8" xfId="0" applyNumberFormat="1" applyFont="1" applyBorder="1"/>
    <xf numFmtId="166" fontId="14" fillId="0" borderId="57" xfId="0" applyNumberFormat="1" applyFont="1" applyBorder="1"/>
    <xf numFmtId="166" fontId="21" fillId="0" borderId="9" xfId="0" applyNumberFormat="1" applyFont="1" applyBorder="1"/>
    <xf numFmtId="166" fontId="19" fillId="0" borderId="57" xfId="0" applyNumberFormat="1" applyFont="1" applyBorder="1"/>
    <xf numFmtId="166" fontId="21" fillId="0" borderId="57" xfId="0" applyNumberFormat="1" applyFont="1" applyBorder="1"/>
    <xf numFmtId="166" fontId="0" fillId="0" borderId="43" xfId="0" applyNumberFormat="1" applyBorder="1"/>
    <xf numFmtId="166" fontId="21" fillId="0" borderId="31" xfId="0" applyNumberFormat="1" applyFont="1" applyBorder="1"/>
    <xf numFmtId="166" fontId="14" fillId="0" borderId="11" xfId="0" applyNumberFormat="1" applyFont="1" applyBorder="1"/>
    <xf numFmtId="166" fontId="1" fillId="0" borderId="45" xfId="0" applyNumberFormat="1" applyFont="1" applyBorder="1"/>
    <xf numFmtId="166" fontId="17" fillId="0" borderId="18" xfId="0" applyNumberFormat="1" applyFont="1" applyBorder="1"/>
    <xf numFmtId="0" fontId="15" fillId="0" borderId="18" xfId="0" applyFont="1" applyBorder="1" applyAlignment="1">
      <alignment horizontal="center" vertical="center"/>
    </xf>
    <xf numFmtId="166" fontId="21" fillId="0" borderId="11" xfId="0" applyNumberFormat="1" applyFont="1" applyBorder="1"/>
    <xf numFmtId="166" fontId="14" fillId="0" borderId="42" xfId="0" applyNumberFormat="1" applyFont="1" applyBorder="1"/>
    <xf numFmtId="166" fontId="21" fillId="0" borderId="34" xfId="0" applyNumberFormat="1" applyFont="1" applyBorder="1"/>
    <xf numFmtId="166" fontId="21" fillId="0" borderId="24" xfId="0" applyNumberFormat="1" applyFont="1" applyBorder="1"/>
    <xf numFmtId="166" fontId="21" fillId="0" borderId="40" xfId="0" applyNumberFormat="1" applyFont="1" applyBorder="1"/>
    <xf numFmtId="166" fontId="17" fillId="0" borderId="20" xfId="0" applyNumberFormat="1" applyFont="1" applyBorder="1"/>
    <xf numFmtId="166" fontId="9" fillId="0" borderId="18" xfId="0" applyNumberFormat="1" applyFont="1" applyBorder="1"/>
    <xf numFmtId="166" fontId="17" fillId="4" borderId="18" xfId="0" applyNumberFormat="1" applyFont="1" applyFill="1" applyBorder="1"/>
    <xf numFmtId="2" fontId="14" fillId="0" borderId="27" xfId="0" applyNumberFormat="1" applyFont="1" applyBorder="1"/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166" fontId="21" fillId="2" borderId="1" xfId="0" applyNumberFormat="1" applyFont="1" applyFill="1" applyBorder="1"/>
    <xf numFmtId="49" fontId="8" fillId="0" borderId="1" xfId="0" applyNumberFormat="1" applyFont="1" applyBorder="1" applyAlignment="1">
      <alignment horizontal="right"/>
    </xf>
    <xf numFmtId="0" fontId="14" fillId="0" borderId="1" xfId="0" applyFont="1" applyBorder="1"/>
    <xf numFmtId="49" fontId="8" fillId="2" borderId="1" xfId="0" applyNumberFormat="1" applyFont="1" applyFill="1" applyBorder="1" applyAlignment="1">
      <alignment horizontal="right" vertical="top"/>
    </xf>
    <xf numFmtId="0" fontId="21" fillId="2" borderId="1" xfId="0" applyFont="1" applyFill="1" applyBorder="1" applyAlignment="1">
      <alignment horizontal="left" wrapText="1"/>
    </xf>
    <xf numFmtId="49" fontId="8" fillId="0" borderId="1" xfId="0" applyNumberFormat="1" applyFont="1" applyBorder="1" applyAlignment="1">
      <alignment horizontal="right" vertical="top"/>
    </xf>
    <xf numFmtId="0" fontId="14" fillId="0" borderId="1" xfId="0" applyFont="1" applyBorder="1" applyAlignment="1">
      <alignment horizontal="left" wrapText="1"/>
    </xf>
    <xf numFmtId="0" fontId="22" fillId="2" borderId="1" xfId="0" applyFont="1" applyFill="1" applyBorder="1" applyAlignment="1">
      <alignment horizontal="left" vertical="top" wrapText="1"/>
    </xf>
    <xf numFmtId="0" fontId="24" fillId="2" borderId="1" xfId="0" applyFont="1" applyFill="1" applyBorder="1"/>
    <xf numFmtId="49" fontId="8" fillId="4" borderId="1" xfId="0" applyNumberFormat="1" applyFont="1" applyFill="1" applyBorder="1"/>
    <xf numFmtId="0" fontId="10" fillId="4" borderId="1" xfId="0" applyFont="1" applyFill="1" applyBorder="1" applyAlignment="1">
      <alignment horizontal="right"/>
    </xf>
    <xf numFmtId="166" fontId="17" fillId="4" borderId="1" xfId="0" applyNumberFormat="1" applyFont="1" applyFill="1" applyBorder="1"/>
    <xf numFmtId="0" fontId="8" fillId="0" borderId="1" xfId="0" applyFont="1" applyBorder="1" applyAlignment="1">
      <alignment wrapText="1"/>
    </xf>
    <xf numFmtId="49" fontId="10" fillId="4" borderId="1" xfId="0" applyNumberFormat="1" applyFont="1" applyFill="1" applyBorder="1"/>
    <xf numFmtId="49" fontId="10" fillId="4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/>
    <xf numFmtId="166" fontId="14" fillId="0" borderId="31" xfId="0" applyNumberFormat="1" applyFont="1" applyBorder="1"/>
    <xf numFmtId="166" fontId="21" fillId="0" borderId="46" xfId="0" applyNumberFormat="1" applyFont="1" applyBorder="1"/>
    <xf numFmtId="166" fontId="21" fillId="0" borderId="47" xfId="0" applyNumberFormat="1" applyFont="1" applyBorder="1"/>
    <xf numFmtId="166" fontId="21" fillId="0" borderId="18" xfId="0" applyNumberFormat="1" applyFont="1" applyBorder="1"/>
    <xf numFmtId="166" fontId="21" fillId="0" borderId="60" xfId="0" applyNumberFormat="1" applyFont="1" applyBorder="1"/>
    <xf numFmtId="166" fontId="21" fillId="0" borderId="55" xfId="0" applyNumberFormat="1" applyFont="1" applyBorder="1"/>
    <xf numFmtId="166" fontId="26" fillId="0" borderId="27" xfId="0" applyNumberFormat="1" applyFont="1" applyBorder="1"/>
    <xf numFmtId="166" fontId="21" fillId="0" borderId="12" xfId="0" applyNumberFormat="1" applyFont="1" applyBorder="1"/>
    <xf numFmtId="166" fontId="21" fillId="0" borderId="56" xfId="0" applyNumberFormat="1" applyFont="1" applyBorder="1"/>
    <xf numFmtId="166" fontId="21" fillId="0" borderId="28" xfId="0" applyNumberFormat="1" applyFont="1" applyBorder="1"/>
    <xf numFmtId="166" fontId="21" fillId="0" borderId="42" xfId="0" applyNumberFormat="1" applyFont="1" applyBorder="1"/>
    <xf numFmtId="166" fontId="21" fillId="0" borderId="0" xfId="0" applyNumberFormat="1" applyFont="1"/>
    <xf numFmtId="166" fontId="21" fillId="0" borderId="53" xfId="0" applyNumberFormat="1" applyFont="1" applyBorder="1"/>
    <xf numFmtId="166" fontId="21" fillId="0" borderId="49" xfId="0" applyNumberFormat="1" applyFont="1" applyBorder="1"/>
    <xf numFmtId="167" fontId="0" fillId="0" borderId="1" xfId="0" applyNumberFormat="1" applyBorder="1"/>
    <xf numFmtId="3" fontId="0" fillId="0" borderId="5" xfId="0" applyNumberFormat="1" applyBorder="1"/>
    <xf numFmtId="167" fontId="6" fillId="0" borderId="1" xfId="0" applyNumberFormat="1" applyFont="1" applyBorder="1"/>
    <xf numFmtId="166" fontId="17" fillId="4" borderId="16" xfId="0" applyNumberFormat="1" applyFont="1" applyFill="1" applyBorder="1"/>
    <xf numFmtId="166" fontId="21" fillId="0" borderId="20" xfId="0" applyNumberFormat="1" applyFont="1" applyBorder="1"/>
    <xf numFmtId="0" fontId="8" fillId="0" borderId="43" xfId="0" applyFont="1" applyBorder="1"/>
    <xf numFmtId="166" fontId="21" fillId="0" borderId="30" xfId="0" applyNumberFormat="1" applyFont="1" applyBorder="1"/>
    <xf numFmtId="0" fontId="18" fillId="0" borderId="22" xfId="0" applyFont="1" applyBorder="1" applyAlignment="1">
      <alignment horizontal="right" wrapText="1"/>
    </xf>
    <xf numFmtId="4" fontId="0" fillId="0" borderId="1" xfId="0" applyNumberFormat="1" applyBorder="1"/>
    <xf numFmtId="4" fontId="0" fillId="0" borderId="11" xfId="0" applyNumberFormat="1" applyBorder="1"/>
    <xf numFmtId="3" fontId="0" fillId="0" borderId="11" xfId="0" applyNumberFormat="1" applyBorder="1"/>
    <xf numFmtId="167" fontId="0" fillId="0" borderId="11" xfId="0" applyNumberFormat="1" applyBorder="1"/>
    <xf numFmtId="3" fontId="0" fillId="0" borderId="13" xfId="0" applyNumberFormat="1" applyBorder="1"/>
    <xf numFmtId="167" fontId="0" fillId="0" borderId="13" xfId="0" applyNumberFormat="1" applyBorder="1"/>
    <xf numFmtId="167" fontId="3" fillId="0" borderId="1" xfId="0" applyNumberFormat="1" applyFont="1" applyBorder="1"/>
    <xf numFmtId="0" fontId="0" fillId="0" borderId="0" xfId="0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36" xfId="1" applyBorder="1" applyAlignment="1">
      <alignment vertical="top" wrapText="1"/>
    </xf>
    <xf numFmtId="0" fontId="4" fillId="0" borderId="14" xfId="1" applyBorder="1" applyAlignment="1">
      <alignment vertical="top" wrapText="1"/>
    </xf>
    <xf numFmtId="0" fontId="4" fillId="0" borderId="15" xfId="1" applyBorder="1" applyAlignment="1">
      <alignment horizontal="center"/>
    </xf>
    <xf numFmtId="0" fontId="4" fillId="0" borderId="30" xfId="1" applyBorder="1" applyAlignment="1">
      <alignment horizontal="center"/>
    </xf>
    <xf numFmtId="0" fontId="4" fillId="0" borderId="24" xfId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8" fillId="0" borderId="1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textRotation="90" wrapText="1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textRotation="90" wrapText="1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textRotation="90" wrapText="1"/>
    </xf>
    <xf numFmtId="0" fontId="14" fillId="0" borderId="46" xfId="0" applyFont="1" applyBorder="1" applyAlignment="1">
      <alignment horizontal="center" textRotation="90" wrapText="1"/>
    </xf>
    <xf numFmtId="0" fontId="10" fillId="0" borderId="51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166" fontId="16" fillId="4" borderId="15" xfId="0" applyNumberFormat="1" applyFont="1" applyFill="1" applyBorder="1" applyAlignment="1">
      <alignment horizontal="center" vertical="center"/>
    </xf>
    <xf numFmtId="166" fontId="16" fillId="4" borderId="30" xfId="0" applyNumberFormat="1" applyFont="1" applyFill="1" applyBorder="1" applyAlignment="1">
      <alignment horizontal="center" vertical="center"/>
    </xf>
    <xf numFmtId="166" fontId="16" fillId="4" borderId="24" xfId="0" applyNumberFormat="1" applyFont="1" applyFill="1" applyBorder="1" applyAlignment="1">
      <alignment horizontal="center" vertical="center"/>
    </xf>
    <xf numFmtId="166" fontId="10" fillId="4" borderId="15" xfId="0" applyNumberFormat="1" applyFont="1" applyFill="1" applyBorder="1" applyAlignment="1">
      <alignment horizontal="right"/>
    </xf>
    <xf numFmtId="166" fontId="10" fillId="4" borderId="24" xfId="0" applyNumberFormat="1" applyFont="1" applyFill="1" applyBorder="1" applyAlignment="1">
      <alignment horizontal="right"/>
    </xf>
    <xf numFmtId="166" fontId="20" fillId="4" borderId="30" xfId="0" applyNumberFormat="1" applyFont="1" applyFill="1" applyBorder="1" applyAlignment="1">
      <alignment horizontal="center" vertical="center"/>
    </xf>
    <xf numFmtId="166" fontId="20" fillId="4" borderId="24" xfId="0" applyNumberFormat="1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166" fontId="20" fillId="4" borderId="15" xfId="0" applyNumberFormat="1" applyFont="1" applyFill="1" applyBorder="1" applyAlignment="1">
      <alignment horizontal="center" vertical="center"/>
    </xf>
    <xf numFmtId="166" fontId="14" fillId="0" borderId="27" xfId="0" applyNumberFormat="1" applyFont="1" applyFill="1" applyBorder="1"/>
    <xf numFmtId="166" fontId="14" fillId="0" borderId="34" xfId="0" applyNumberFormat="1" applyFont="1" applyFill="1" applyBorder="1"/>
    <xf numFmtId="166" fontId="14" fillId="0" borderId="13" xfId="0" applyNumberFormat="1" applyFont="1" applyFill="1" applyBorder="1"/>
    <xf numFmtId="166" fontId="14" fillId="0" borderId="5" xfId="0" applyNumberFormat="1" applyFont="1" applyFill="1" applyBorder="1"/>
    <xf numFmtId="166" fontId="14" fillId="0" borderId="12" xfId="0" applyNumberFormat="1" applyFont="1" applyFill="1" applyBorder="1"/>
    <xf numFmtId="166" fontId="14" fillId="0" borderId="35" xfId="0" applyNumberFormat="1" applyFont="1" applyFill="1" applyBorder="1"/>
    <xf numFmtId="166" fontId="14" fillId="0" borderId="10" xfId="0" applyNumberFormat="1" applyFont="1" applyFill="1" applyBorder="1"/>
    <xf numFmtId="166" fontId="9" fillId="0" borderId="35" xfId="0" applyNumberFormat="1" applyFont="1" applyFill="1" applyBorder="1"/>
    <xf numFmtId="166" fontId="9" fillId="0" borderId="27" xfId="0" applyNumberFormat="1" applyFont="1" applyFill="1" applyBorder="1"/>
    <xf numFmtId="2" fontId="14" fillId="0" borderId="27" xfId="0" applyNumberFormat="1" applyFont="1" applyFill="1" applyBorder="1"/>
    <xf numFmtId="166" fontId="18" fillId="0" borderId="28" xfId="0" applyNumberFormat="1" applyFont="1" applyFill="1" applyBorder="1" applyAlignment="1">
      <alignment horizontal="right" wrapText="1"/>
    </xf>
    <xf numFmtId="0" fontId="7" fillId="0" borderId="61" xfId="0" applyFont="1" applyBorder="1" applyAlignment="1">
      <alignment horizontal="left" textRotation="90" wrapText="1"/>
    </xf>
    <xf numFmtId="0" fontId="7" fillId="0" borderId="62" xfId="0" applyFont="1" applyBorder="1" applyAlignment="1">
      <alignment horizontal="left" textRotation="90" wrapText="1"/>
    </xf>
  </cellXfs>
  <cellStyles count="3">
    <cellStyle name="Įprastas" xfId="0" builtinId="0"/>
    <cellStyle name="Įprastas 2" xfId="1" xr:uid="{00000000-0005-0000-0000-000001000000}"/>
    <cellStyle name="SvsDataLvl2Summary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"/>
  <sheetViews>
    <sheetView workbookViewId="0">
      <selection activeCell="K104" sqref="K104"/>
    </sheetView>
  </sheetViews>
  <sheetFormatPr defaultRowHeight="11.25" customHeight="1" x14ac:dyDescent="0.25"/>
  <cols>
    <col min="1" max="1" width="14.33203125" customWidth="1"/>
    <col min="2" max="2" width="48.6640625" customWidth="1"/>
    <col min="4" max="4" width="14.88671875" customWidth="1"/>
  </cols>
  <sheetData>
    <row r="1" spans="1:4" ht="11.25" customHeight="1" x14ac:dyDescent="0.25">
      <c r="B1" s="283" t="s">
        <v>72</v>
      </c>
      <c r="C1" s="283"/>
      <c r="D1" s="283"/>
    </row>
    <row r="2" spans="1:4" ht="11.25" customHeight="1" x14ac:dyDescent="0.25">
      <c r="B2" s="284" t="s">
        <v>484</v>
      </c>
      <c r="C2" s="283"/>
      <c r="D2" s="283"/>
    </row>
    <row r="3" spans="1:4" ht="11.25" customHeight="1" x14ac:dyDescent="0.25">
      <c r="B3" s="283" t="s">
        <v>73</v>
      </c>
      <c r="C3" s="283"/>
      <c r="D3" s="283"/>
    </row>
    <row r="5" spans="1:4" ht="13.5" customHeight="1" x14ac:dyDescent="0.25">
      <c r="B5" s="1" t="s">
        <v>485</v>
      </c>
    </row>
    <row r="7" spans="1:4" ht="11.25" customHeight="1" thickBot="1" x14ac:dyDescent="0.3">
      <c r="D7" s="2" t="s">
        <v>109</v>
      </c>
    </row>
    <row r="8" spans="1:4" ht="21" customHeight="1" thickBot="1" x14ac:dyDescent="0.3">
      <c r="A8" s="20" t="s">
        <v>328</v>
      </c>
      <c r="B8" s="72" t="s">
        <v>329</v>
      </c>
      <c r="C8" s="72" t="s">
        <v>26</v>
      </c>
      <c r="D8" s="21" t="s">
        <v>0</v>
      </c>
    </row>
    <row r="9" spans="1:4" ht="11.25" customHeight="1" thickBot="1" x14ac:dyDescent="0.3">
      <c r="A9" s="25">
        <v>1</v>
      </c>
      <c r="B9" s="21">
        <v>2</v>
      </c>
      <c r="C9" s="21">
        <v>3</v>
      </c>
      <c r="D9" s="21">
        <v>4</v>
      </c>
    </row>
    <row r="10" spans="1:4" s="1" customFormat="1" ht="11.25" customHeight="1" x14ac:dyDescent="0.25">
      <c r="A10" s="22" t="s">
        <v>1</v>
      </c>
      <c r="B10" s="23" t="s">
        <v>414</v>
      </c>
      <c r="C10" s="24">
        <v>1</v>
      </c>
      <c r="D10" s="32">
        <f>SUM(D11,D15,D19)</f>
        <v>25129000</v>
      </c>
    </row>
    <row r="11" spans="1:4" s="1" customFormat="1" ht="11.25" customHeight="1" x14ac:dyDescent="0.25">
      <c r="A11" s="7" t="s">
        <v>2</v>
      </c>
      <c r="B11" s="8" t="s">
        <v>3</v>
      </c>
      <c r="C11" s="9">
        <v>2</v>
      </c>
      <c r="D11" s="33">
        <f>SUM(D12)</f>
        <v>24379000</v>
      </c>
    </row>
    <row r="12" spans="1:4" ht="11.25" customHeight="1" x14ac:dyDescent="0.25">
      <c r="A12" s="6" t="s">
        <v>388</v>
      </c>
      <c r="B12" s="28" t="s">
        <v>458</v>
      </c>
      <c r="C12" s="11">
        <v>3</v>
      </c>
      <c r="D12" s="34">
        <f>SUM(D13:D14)</f>
        <v>24379000</v>
      </c>
    </row>
    <row r="13" spans="1:4" ht="11.25" customHeight="1" x14ac:dyDescent="0.25">
      <c r="A13" s="6"/>
      <c r="B13" s="28" t="s">
        <v>456</v>
      </c>
      <c r="C13" s="11"/>
      <c r="D13" s="34">
        <v>24340000</v>
      </c>
    </row>
    <row r="14" spans="1:4" ht="24.6" customHeight="1" x14ac:dyDescent="0.25">
      <c r="A14" s="6"/>
      <c r="B14" s="28" t="s">
        <v>457</v>
      </c>
      <c r="C14" s="11"/>
      <c r="D14" s="34">
        <v>39000</v>
      </c>
    </row>
    <row r="15" spans="1:4" s="1" customFormat="1" ht="11.25" customHeight="1" x14ac:dyDescent="0.25">
      <c r="A15" s="7" t="s">
        <v>4</v>
      </c>
      <c r="B15" s="8" t="s">
        <v>391</v>
      </c>
      <c r="C15" s="9">
        <v>4</v>
      </c>
      <c r="D15" s="33">
        <f>SUM(D16:D18)</f>
        <v>720000</v>
      </c>
    </row>
    <row r="16" spans="1:4" ht="11.25" customHeight="1" x14ac:dyDescent="0.25">
      <c r="A16" s="6" t="s">
        <v>5</v>
      </c>
      <c r="B16" s="10" t="s">
        <v>6</v>
      </c>
      <c r="C16" s="11">
        <v>5</v>
      </c>
      <c r="D16" s="34">
        <v>600000</v>
      </c>
    </row>
    <row r="17" spans="1:4" ht="11.25" customHeight="1" x14ac:dyDescent="0.25">
      <c r="A17" s="6" t="s">
        <v>7</v>
      </c>
      <c r="B17" s="10" t="s">
        <v>8</v>
      </c>
      <c r="C17" s="11">
        <v>6</v>
      </c>
      <c r="D17" s="34">
        <v>10000</v>
      </c>
    </row>
    <row r="18" spans="1:4" ht="11.25" customHeight="1" x14ac:dyDescent="0.25">
      <c r="A18" s="6" t="s">
        <v>9</v>
      </c>
      <c r="B18" s="10" t="s">
        <v>10</v>
      </c>
      <c r="C18" s="11">
        <v>7</v>
      </c>
      <c r="D18" s="34">
        <v>110000</v>
      </c>
    </row>
    <row r="19" spans="1:4" s="1" customFormat="1" ht="11.25" customHeight="1" x14ac:dyDescent="0.25">
      <c r="A19" s="7" t="s">
        <v>11</v>
      </c>
      <c r="B19" s="8" t="s">
        <v>392</v>
      </c>
      <c r="C19" s="9">
        <v>8</v>
      </c>
      <c r="D19" s="33">
        <f>SUM(D20:D20)</f>
        <v>30000</v>
      </c>
    </row>
    <row r="20" spans="1:4" ht="11.25" customHeight="1" x14ac:dyDescent="0.25">
      <c r="A20" s="6" t="s">
        <v>12</v>
      </c>
      <c r="B20" s="10" t="s">
        <v>389</v>
      </c>
      <c r="C20" s="11">
        <v>9</v>
      </c>
      <c r="D20" s="34">
        <v>30000</v>
      </c>
    </row>
    <row r="21" spans="1:4" s="1" customFormat="1" ht="11.25" customHeight="1" x14ac:dyDescent="0.25">
      <c r="A21" s="7" t="s">
        <v>136</v>
      </c>
      <c r="B21" s="8" t="s">
        <v>410</v>
      </c>
      <c r="C21" s="9">
        <v>10</v>
      </c>
      <c r="D21" s="101">
        <f>SUM(D22,D61,D62)</f>
        <v>15218258.140000001</v>
      </c>
    </row>
    <row r="22" spans="1:4" ht="18.75" customHeight="1" x14ac:dyDescent="0.25">
      <c r="A22" s="6" t="s">
        <v>14</v>
      </c>
      <c r="B22" s="28" t="s">
        <v>409</v>
      </c>
      <c r="C22" s="11">
        <v>11</v>
      </c>
      <c r="D22" s="276">
        <f>SUM(D23,D46,D47)</f>
        <v>14387228.1</v>
      </c>
    </row>
    <row r="23" spans="1:4" ht="27" customHeight="1" x14ac:dyDescent="0.25">
      <c r="A23" s="16" t="s">
        <v>15</v>
      </c>
      <c r="B23" s="77" t="s">
        <v>390</v>
      </c>
      <c r="C23" s="18">
        <v>12</v>
      </c>
      <c r="D23" s="34">
        <f>SUM(D24:D45)</f>
        <v>3848105</v>
      </c>
    </row>
    <row r="24" spans="1:4" ht="11.25" customHeight="1" x14ac:dyDescent="0.25">
      <c r="A24" s="16"/>
      <c r="B24" s="78" t="s">
        <v>339</v>
      </c>
      <c r="C24" s="18"/>
      <c r="D24" s="34">
        <v>500</v>
      </c>
    </row>
    <row r="25" spans="1:4" ht="11.25" customHeight="1" x14ac:dyDescent="0.25">
      <c r="A25" s="16"/>
      <c r="B25" s="29" t="s">
        <v>87</v>
      </c>
      <c r="C25" s="18"/>
      <c r="D25" s="34">
        <v>27800</v>
      </c>
    </row>
    <row r="26" spans="1:4" ht="11.25" customHeight="1" x14ac:dyDescent="0.25">
      <c r="A26" s="16"/>
      <c r="B26" s="29" t="s">
        <v>82</v>
      </c>
      <c r="C26" s="18"/>
      <c r="D26" s="34">
        <v>8000</v>
      </c>
    </row>
    <row r="27" spans="1:4" ht="11.25" customHeight="1" x14ac:dyDescent="0.25">
      <c r="A27" s="16"/>
      <c r="B27" s="5" t="s">
        <v>340</v>
      </c>
      <c r="C27" s="18"/>
      <c r="D27" s="34">
        <v>28700</v>
      </c>
    </row>
    <row r="28" spans="1:4" ht="11.25" customHeight="1" x14ac:dyDescent="0.25">
      <c r="A28" s="16"/>
      <c r="B28" s="29" t="s">
        <v>81</v>
      </c>
      <c r="C28" s="18"/>
      <c r="D28" s="34">
        <v>19500</v>
      </c>
    </row>
    <row r="29" spans="1:4" ht="11.25" customHeight="1" x14ac:dyDescent="0.25">
      <c r="A29" s="16"/>
      <c r="B29" s="5" t="s">
        <v>341</v>
      </c>
      <c r="C29" s="18"/>
      <c r="D29" s="34">
        <v>7800</v>
      </c>
    </row>
    <row r="30" spans="1:4" ht="21" customHeight="1" x14ac:dyDescent="0.25">
      <c r="A30" s="16"/>
      <c r="B30" s="29" t="s">
        <v>90</v>
      </c>
      <c r="C30" s="18"/>
      <c r="D30" s="34">
        <v>2100</v>
      </c>
    </row>
    <row r="31" spans="1:4" ht="11.25" customHeight="1" x14ac:dyDescent="0.25">
      <c r="A31" s="16"/>
      <c r="B31" s="5" t="s">
        <v>338</v>
      </c>
      <c r="C31" s="18"/>
      <c r="D31" s="34">
        <v>1000</v>
      </c>
    </row>
    <row r="32" spans="1:4" ht="11.25" customHeight="1" x14ac:dyDescent="0.25">
      <c r="A32" s="16"/>
      <c r="B32" s="29" t="s">
        <v>88</v>
      </c>
      <c r="C32" s="18"/>
      <c r="D32" s="34">
        <v>29900</v>
      </c>
    </row>
    <row r="33" spans="1:4" ht="11.25" customHeight="1" x14ac:dyDescent="0.25">
      <c r="A33" s="16"/>
      <c r="B33" s="5" t="s">
        <v>342</v>
      </c>
      <c r="C33" s="18"/>
      <c r="D33" s="34">
        <v>14200</v>
      </c>
    </row>
    <row r="34" spans="1:4" ht="11.25" customHeight="1" x14ac:dyDescent="0.25">
      <c r="A34" s="16"/>
      <c r="B34" s="29" t="s">
        <v>89</v>
      </c>
      <c r="C34" s="18"/>
      <c r="D34" s="34">
        <v>837800</v>
      </c>
    </row>
    <row r="35" spans="1:4" ht="11.25" customHeight="1" x14ac:dyDescent="0.25">
      <c r="A35" s="16"/>
      <c r="B35" s="29" t="s">
        <v>91</v>
      </c>
      <c r="C35" s="18"/>
      <c r="D35" s="34">
        <v>333000</v>
      </c>
    </row>
    <row r="36" spans="1:4" ht="11.25" customHeight="1" x14ac:dyDescent="0.25">
      <c r="A36" s="16"/>
      <c r="B36" s="5" t="s">
        <v>371</v>
      </c>
      <c r="C36" s="18"/>
      <c r="D36" s="34">
        <v>7172</v>
      </c>
    </row>
    <row r="37" spans="1:4" ht="11.25" customHeight="1" x14ac:dyDescent="0.25">
      <c r="A37" s="16"/>
      <c r="B37" s="5" t="s">
        <v>16</v>
      </c>
      <c r="C37" s="18"/>
      <c r="D37" s="34">
        <v>253000</v>
      </c>
    </row>
    <row r="38" spans="1:4" ht="21" customHeight="1" x14ac:dyDescent="0.25">
      <c r="A38" s="16"/>
      <c r="B38" s="5" t="s">
        <v>76</v>
      </c>
      <c r="C38" s="18"/>
      <c r="D38" s="34">
        <v>145000</v>
      </c>
    </row>
    <row r="39" spans="1:4" ht="12.75" customHeight="1" x14ac:dyDescent="0.25">
      <c r="A39" s="16"/>
      <c r="B39" s="5" t="s">
        <v>101</v>
      </c>
      <c r="C39" s="18"/>
      <c r="D39" s="34">
        <v>278300</v>
      </c>
    </row>
    <row r="40" spans="1:4" ht="12.75" customHeight="1" x14ac:dyDescent="0.25">
      <c r="A40" s="16"/>
      <c r="B40" s="5" t="s">
        <v>343</v>
      </c>
      <c r="C40" s="18"/>
      <c r="D40" s="34">
        <v>2600</v>
      </c>
    </row>
    <row r="41" spans="1:4" ht="12.75" customHeight="1" x14ac:dyDescent="0.25">
      <c r="A41" s="16"/>
      <c r="B41" s="99" t="s">
        <v>416</v>
      </c>
      <c r="C41" s="18"/>
      <c r="D41" s="34">
        <v>25333</v>
      </c>
    </row>
    <row r="42" spans="1:4" ht="11.25" customHeight="1" x14ac:dyDescent="0.25">
      <c r="A42" s="16"/>
      <c r="B42" s="5" t="s">
        <v>17</v>
      </c>
      <c r="C42" s="18"/>
      <c r="D42" s="34">
        <v>239500</v>
      </c>
    </row>
    <row r="43" spans="1:4" ht="22.5" customHeight="1" x14ac:dyDescent="0.25">
      <c r="A43" s="16"/>
      <c r="B43" s="5" t="s">
        <v>110</v>
      </c>
      <c r="C43" s="18"/>
      <c r="D43" s="34">
        <v>4700</v>
      </c>
    </row>
    <row r="44" spans="1:4" ht="11.25" customHeight="1" x14ac:dyDescent="0.25">
      <c r="A44" s="16"/>
      <c r="B44" s="5" t="s">
        <v>85</v>
      </c>
      <c r="C44" s="18"/>
      <c r="D44" s="34">
        <v>558900</v>
      </c>
    </row>
    <row r="45" spans="1:4" ht="11.25" customHeight="1" x14ac:dyDescent="0.25">
      <c r="A45" s="16"/>
      <c r="B45" s="5" t="s">
        <v>86</v>
      </c>
      <c r="C45" s="18"/>
      <c r="D45" s="34">
        <v>1023300</v>
      </c>
    </row>
    <row r="46" spans="1:4" ht="11.25" customHeight="1" x14ac:dyDescent="0.25">
      <c r="A46" s="91"/>
      <c r="B46" s="28" t="s">
        <v>379</v>
      </c>
      <c r="C46" s="17">
        <v>13</v>
      </c>
      <c r="D46" s="34">
        <v>9328900</v>
      </c>
    </row>
    <row r="47" spans="1:4" ht="11.25" customHeight="1" x14ac:dyDescent="0.25">
      <c r="A47" s="92"/>
      <c r="B47" s="94" t="s">
        <v>393</v>
      </c>
      <c r="C47" s="17">
        <v>14</v>
      </c>
      <c r="D47" s="277">
        <f>SUM(D48:D60)</f>
        <v>1210223.1000000001</v>
      </c>
    </row>
    <row r="48" spans="1:4" ht="14.25" customHeight="1" x14ac:dyDescent="0.25">
      <c r="A48" s="16" t="s">
        <v>15</v>
      </c>
      <c r="B48" s="5" t="s">
        <v>425</v>
      </c>
      <c r="C48" s="18"/>
      <c r="D48" s="278">
        <v>30228</v>
      </c>
    </row>
    <row r="49" spans="1:4" ht="22.2" customHeight="1" x14ac:dyDescent="0.25">
      <c r="A49" s="16"/>
      <c r="B49" s="95" t="s">
        <v>92</v>
      </c>
      <c r="C49" s="18"/>
      <c r="D49" s="279">
        <v>555200</v>
      </c>
    </row>
    <row r="50" spans="1:4" ht="15.6" customHeight="1" x14ac:dyDescent="0.25">
      <c r="A50" s="16"/>
      <c r="B50" s="5" t="s">
        <v>493</v>
      </c>
      <c r="C50" s="18"/>
      <c r="D50" s="278">
        <v>24679</v>
      </c>
    </row>
    <row r="51" spans="1:4" ht="24.6" customHeight="1" x14ac:dyDescent="0.25">
      <c r="A51" s="16"/>
      <c r="B51" s="95" t="s">
        <v>469</v>
      </c>
      <c r="C51" s="18"/>
      <c r="D51" s="278">
        <v>105900</v>
      </c>
    </row>
    <row r="52" spans="1:4" ht="20.25" customHeight="1" x14ac:dyDescent="0.25">
      <c r="A52" s="16"/>
      <c r="B52" s="5" t="s">
        <v>470</v>
      </c>
      <c r="C52" s="18"/>
      <c r="D52" s="278">
        <v>99359</v>
      </c>
    </row>
    <row r="53" spans="1:4" ht="16.5" customHeight="1" x14ac:dyDescent="0.25">
      <c r="A53" s="16"/>
      <c r="B53" s="5" t="s">
        <v>459</v>
      </c>
      <c r="C53" s="18"/>
      <c r="D53" s="278">
        <v>111818</v>
      </c>
    </row>
    <row r="54" spans="1:4" ht="22.8" customHeight="1" x14ac:dyDescent="0.25">
      <c r="A54" s="16"/>
      <c r="B54" s="5" t="s">
        <v>473</v>
      </c>
      <c r="C54" s="18"/>
      <c r="D54" s="277">
        <v>235.2</v>
      </c>
    </row>
    <row r="55" spans="1:4" ht="22.8" customHeight="1" x14ac:dyDescent="0.25">
      <c r="A55" s="16"/>
      <c r="B55" s="99" t="s">
        <v>520</v>
      </c>
      <c r="C55" s="18"/>
      <c r="D55" s="278">
        <v>77454</v>
      </c>
    </row>
    <row r="56" spans="1:4" ht="19.8" customHeight="1" x14ac:dyDescent="0.25">
      <c r="A56" s="16"/>
      <c r="B56" s="5" t="s">
        <v>471</v>
      </c>
      <c r="C56" s="18"/>
      <c r="D56" s="277">
        <v>21519.9</v>
      </c>
    </row>
    <row r="57" spans="1:4" ht="19.8" customHeight="1" x14ac:dyDescent="0.25">
      <c r="A57" s="16"/>
      <c r="B57" s="99" t="s">
        <v>499</v>
      </c>
      <c r="C57" s="18"/>
      <c r="D57" s="277">
        <v>5695</v>
      </c>
    </row>
    <row r="58" spans="1:4" ht="15" customHeight="1" x14ac:dyDescent="0.25">
      <c r="A58" s="16"/>
      <c r="B58" s="99" t="s">
        <v>491</v>
      </c>
      <c r="C58" s="18"/>
      <c r="D58" s="278">
        <v>52800</v>
      </c>
    </row>
    <row r="59" spans="1:4" ht="24.6" customHeight="1" x14ac:dyDescent="0.25">
      <c r="A59" s="16"/>
      <c r="B59" s="99" t="s">
        <v>492</v>
      </c>
      <c r="C59" s="18"/>
      <c r="D59" s="278">
        <v>3535</v>
      </c>
    </row>
    <row r="60" spans="1:4" ht="15" customHeight="1" x14ac:dyDescent="0.25">
      <c r="A60" s="93"/>
      <c r="B60" s="95" t="s">
        <v>344</v>
      </c>
      <c r="C60" s="30"/>
      <c r="D60" s="278">
        <v>121800</v>
      </c>
    </row>
    <row r="61" spans="1:4" ht="39" customHeight="1" x14ac:dyDescent="0.25">
      <c r="A61" s="98" t="s">
        <v>394</v>
      </c>
      <c r="B61" s="79" t="s">
        <v>433</v>
      </c>
      <c r="C61" s="18">
        <v>15</v>
      </c>
      <c r="D61" s="276">
        <v>831030.04</v>
      </c>
    </row>
    <row r="62" spans="1:4" ht="39" hidden="1" customHeight="1" x14ac:dyDescent="0.25">
      <c r="A62" s="90" t="s">
        <v>408</v>
      </c>
      <c r="B62" s="28" t="s">
        <v>395</v>
      </c>
      <c r="C62" s="285">
        <v>16</v>
      </c>
      <c r="D62" s="34">
        <f>SUM(D63:D65)</f>
        <v>0</v>
      </c>
    </row>
    <row r="63" spans="1:4" ht="17.25" hidden="1" customHeight="1" x14ac:dyDescent="0.25">
      <c r="A63" s="80" t="s">
        <v>15</v>
      </c>
      <c r="B63" s="89" t="s">
        <v>445</v>
      </c>
      <c r="C63" s="286"/>
      <c r="D63" s="280"/>
    </row>
    <row r="64" spans="1:4" ht="13.5" hidden="1" customHeight="1" x14ac:dyDescent="0.25">
      <c r="A64" s="96"/>
      <c r="B64" s="89" t="s">
        <v>407</v>
      </c>
      <c r="C64" s="286"/>
      <c r="D64" s="281"/>
    </row>
    <row r="65" spans="1:4" ht="15" hidden="1" customHeight="1" x14ac:dyDescent="0.25">
      <c r="A65" s="97"/>
      <c r="B65" s="89"/>
      <c r="C65" s="287"/>
      <c r="D65" s="281"/>
    </row>
    <row r="66" spans="1:4" s="1" customFormat="1" ht="11.25" customHeight="1" x14ac:dyDescent="0.25">
      <c r="A66" s="7" t="s">
        <v>18</v>
      </c>
      <c r="B66" s="8" t="s">
        <v>412</v>
      </c>
      <c r="C66" s="24">
        <v>17</v>
      </c>
      <c r="D66" s="282">
        <f>SUM(D67,D72,D76,D79,D80)</f>
        <v>2548400</v>
      </c>
    </row>
    <row r="67" spans="1:4" s="1" customFormat="1" ht="11.25" customHeight="1" x14ac:dyDescent="0.25">
      <c r="A67" s="7" t="s">
        <v>19</v>
      </c>
      <c r="B67" s="8" t="s">
        <v>366</v>
      </c>
      <c r="C67" s="9">
        <v>18</v>
      </c>
      <c r="D67" s="33">
        <f>SUM(D68,D69)</f>
        <v>202000</v>
      </c>
    </row>
    <row r="68" spans="1:4" ht="25.5" customHeight="1" x14ac:dyDescent="0.25">
      <c r="A68" s="88" t="s">
        <v>396</v>
      </c>
      <c r="B68" s="28" t="s">
        <v>20</v>
      </c>
      <c r="C68" s="11">
        <v>19</v>
      </c>
      <c r="D68" s="34">
        <v>140000</v>
      </c>
    </row>
    <row r="69" spans="1:4" ht="11.25" customHeight="1" x14ac:dyDescent="0.25">
      <c r="A69" s="7" t="s">
        <v>386</v>
      </c>
      <c r="B69" s="8" t="s">
        <v>367</v>
      </c>
      <c r="C69" s="9">
        <v>20</v>
      </c>
      <c r="D69" s="33">
        <f>SUM(D70:D71)</f>
        <v>62000</v>
      </c>
    </row>
    <row r="70" spans="1:4" ht="11.25" customHeight="1" x14ac:dyDescent="0.25">
      <c r="A70" s="88" t="s">
        <v>384</v>
      </c>
      <c r="B70" s="28" t="s">
        <v>397</v>
      </c>
      <c r="C70" s="11">
        <v>21</v>
      </c>
      <c r="D70" s="34">
        <v>30000</v>
      </c>
    </row>
    <row r="71" spans="1:4" ht="11.25" customHeight="1" x14ac:dyDescent="0.25">
      <c r="A71" s="88" t="s">
        <v>385</v>
      </c>
      <c r="B71" s="28" t="s">
        <v>79</v>
      </c>
      <c r="C71" s="11">
        <v>22</v>
      </c>
      <c r="D71" s="34">
        <v>32000</v>
      </c>
    </row>
    <row r="72" spans="1:4" s="1" customFormat="1" ht="11.25" customHeight="1" x14ac:dyDescent="0.25">
      <c r="A72" s="7" t="s">
        <v>21</v>
      </c>
      <c r="B72" s="8" t="s">
        <v>368</v>
      </c>
      <c r="C72" s="9">
        <v>23</v>
      </c>
      <c r="D72" s="33">
        <f>SUM(D73:D75)</f>
        <v>1281400</v>
      </c>
    </row>
    <row r="73" spans="1:4" ht="11.25" customHeight="1" x14ac:dyDescent="0.25">
      <c r="A73" s="88" t="s">
        <v>400</v>
      </c>
      <c r="B73" s="28" t="s">
        <v>398</v>
      </c>
      <c r="C73" s="13">
        <v>24</v>
      </c>
      <c r="D73" s="34">
        <f>SUM('sp.p.-2'!D48)</f>
        <v>173600</v>
      </c>
    </row>
    <row r="74" spans="1:4" ht="24.75" customHeight="1" x14ac:dyDescent="0.25">
      <c r="A74" s="88" t="s">
        <v>401</v>
      </c>
      <c r="B74" s="28" t="s">
        <v>399</v>
      </c>
      <c r="C74" s="13">
        <v>25</v>
      </c>
      <c r="D74" s="34">
        <f>SUM('sp.p.-2'!E48)</f>
        <v>121600</v>
      </c>
    </row>
    <row r="75" spans="1:4" ht="25.5" customHeight="1" x14ac:dyDescent="0.25">
      <c r="A75" s="88" t="s">
        <v>402</v>
      </c>
      <c r="B75" s="10" t="s">
        <v>22</v>
      </c>
      <c r="C75" s="13">
        <v>26</v>
      </c>
      <c r="D75" s="34">
        <f>SUM('sp.p.-2'!F48)</f>
        <v>986200</v>
      </c>
    </row>
    <row r="76" spans="1:4" ht="17.25" customHeight="1" x14ac:dyDescent="0.25">
      <c r="A76" s="7" t="s">
        <v>403</v>
      </c>
      <c r="B76" s="8" t="s">
        <v>411</v>
      </c>
      <c r="C76" s="9">
        <v>27</v>
      </c>
      <c r="D76" s="34">
        <f>SUM(D77:D78)</f>
        <v>1045000</v>
      </c>
    </row>
    <row r="77" spans="1:4" ht="15" customHeight="1" x14ac:dyDescent="0.25">
      <c r="A77" s="88" t="s">
        <v>404</v>
      </c>
      <c r="B77" s="10" t="s">
        <v>13</v>
      </c>
      <c r="C77" s="13">
        <v>28</v>
      </c>
      <c r="D77" s="34">
        <v>45000</v>
      </c>
    </row>
    <row r="78" spans="1:4" ht="16.5" customHeight="1" x14ac:dyDescent="0.25">
      <c r="A78" s="88" t="s">
        <v>405</v>
      </c>
      <c r="B78" s="10" t="s">
        <v>337</v>
      </c>
      <c r="C78" s="13">
        <v>29</v>
      </c>
      <c r="D78" s="34">
        <v>1000000</v>
      </c>
    </row>
    <row r="79" spans="1:4" s="1" customFormat="1" ht="11.25" customHeight="1" x14ac:dyDescent="0.25">
      <c r="A79" s="7" t="s">
        <v>23</v>
      </c>
      <c r="B79" s="8" t="s">
        <v>24</v>
      </c>
      <c r="C79" s="9">
        <v>30</v>
      </c>
      <c r="D79" s="33">
        <v>10000</v>
      </c>
    </row>
    <row r="80" spans="1:4" s="1" customFormat="1" ht="11.25" customHeight="1" x14ac:dyDescent="0.25">
      <c r="A80" s="7" t="s">
        <v>387</v>
      </c>
      <c r="B80" s="8" t="s">
        <v>70</v>
      </c>
      <c r="C80" s="9">
        <v>31</v>
      </c>
      <c r="D80" s="33">
        <v>10000</v>
      </c>
    </row>
    <row r="81" spans="1:4" s="1" customFormat="1" ht="25.5" customHeight="1" x14ac:dyDescent="0.25">
      <c r="A81" s="7" t="s">
        <v>93</v>
      </c>
      <c r="B81" s="8" t="s">
        <v>413</v>
      </c>
      <c r="C81" s="9">
        <v>32</v>
      </c>
      <c r="D81" s="33">
        <f>SUM(D82:D83)</f>
        <v>77000</v>
      </c>
    </row>
    <row r="82" spans="1:4" s="1" customFormat="1" ht="12.75" customHeight="1" x14ac:dyDescent="0.25">
      <c r="A82" s="12" t="s">
        <v>322</v>
      </c>
      <c r="B82" s="28" t="s">
        <v>406</v>
      </c>
      <c r="C82" s="13">
        <v>33</v>
      </c>
      <c r="D82" s="35">
        <v>10000</v>
      </c>
    </row>
    <row r="83" spans="1:4" s="1" customFormat="1" ht="24" customHeight="1" x14ac:dyDescent="0.25">
      <c r="A83" s="28" t="s">
        <v>418</v>
      </c>
      <c r="B83" s="28" t="s">
        <v>417</v>
      </c>
      <c r="C83" s="13">
        <v>34</v>
      </c>
      <c r="D83" s="35">
        <v>67000</v>
      </c>
    </row>
    <row r="84" spans="1:4" s="1" customFormat="1" ht="13.5" customHeight="1" x14ac:dyDescent="0.25">
      <c r="A84" s="64"/>
      <c r="B84" s="65" t="s">
        <v>415</v>
      </c>
      <c r="C84" s="66">
        <v>35</v>
      </c>
      <c r="D84" s="103">
        <f>SUM(D10,D21,D66,D81)</f>
        <v>42972658.140000001</v>
      </c>
    </row>
    <row r="85" spans="1:4" ht="26.25" customHeight="1" x14ac:dyDescent="0.25">
      <c r="A85" s="38" t="s">
        <v>115</v>
      </c>
      <c r="B85" s="42" t="s">
        <v>345</v>
      </c>
      <c r="C85" s="9">
        <v>36</v>
      </c>
      <c r="D85" s="101">
        <f>SUM(D86:D90)</f>
        <v>3660928.4899999998</v>
      </c>
    </row>
    <row r="86" spans="1:4" ht="17.25" customHeight="1" x14ac:dyDescent="0.25">
      <c r="A86" s="39" t="s">
        <v>116</v>
      </c>
      <c r="B86" s="39" t="s">
        <v>112</v>
      </c>
      <c r="C86" s="13">
        <v>37</v>
      </c>
      <c r="D86" s="104">
        <f>38749.09+31885.09+6100+3249472.32</f>
        <v>3326206.5</v>
      </c>
    </row>
    <row r="87" spans="1:4" ht="17.25" customHeight="1" x14ac:dyDescent="0.25">
      <c r="A87" s="39" t="s">
        <v>117</v>
      </c>
      <c r="B87" s="40" t="s">
        <v>113</v>
      </c>
      <c r="C87" s="13">
        <v>38</v>
      </c>
      <c r="D87" s="104">
        <v>107176.55</v>
      </c>
    </row>
    <row r="88" spans="1:4" ht="17.25" customHeight="1" x14ac:dyDescent="0.25">
      <c r="A88" s="39" t="s">
        <v>118</v>
      </c>
      <c r="B88" s="40" t="s">
        <v>114</v>
      </c>
      <c r="C88" s="13">
        <v>39</v>
      </c>
      <c r="D88" s="104">
        <v>149875.72</v>
      </c>
    </row>
    <row r="89" spans="1:4" ht="17.399999999999999" customHeight="1" x14ac:dyDescent="0.25">
      <c r="A89" s="39" t="s">
        <v>163</v>
      </c>
      <c r="B89" s="79" t="s">
        <v>357</v>
      </c>
      <c r="C89" s="13">
        <v>40</v>
      </c>
      <c r="D89" s="104">
        <v>76892.899999999994</v>
      </c>
    </row>
    <row r="90" spans="1:4" ht="17.25" customHeight="1" x14ac:dyDescent="0.25">
      <c r="A90" s="39" t="s">
        <v>164</v>
      </c>
      <c r="B90" s="40" t="s">
        <v>358</v>
      </c>
      <c r="C90" s="13">
        <v>41</v>
      </c>
      <c r="D90" s="104">
        <v>776.82</v>
      </c>
    </row>
    <row r="91" spans="1:4" ht="14.25" customHeight="1" x14ac:dyDescent="0.25">
      <c r="A91" s="7" t="s">
        <v>119</v>
      </c>
      <c r="B91" s="41" t="s">
        <v>365</v>
      </c>
      <c r="C91" s="9">
        <v>42</v>
      </c>
      <c r="D91" s="101">
        <v>3948215.83</v>
      </c>
    </row>
    <row r="92" spans="1:4" ht="24" customHeight="1" x14ac:dyDescent="0.25">
      <c r="A92" s="43"/>
      <c r="B92" s="45" t="s">
        <v>346</v>
      </c>
      <c r="C92" s="44">
        <v>43</v>
      </c>
      <c r="D92" s="105">
        <f>SUM(D84:D85,D91)</f>
        <v>50581802.460000001</v>
      </c>
    </row>
    <row r="93" spans="1:4" ht="11.25" customHeight="1" x14ac:dyDescent="0.25">
      <c r="B93" s="3"/>
      <c r="D93" s="75"/>
    </row>
    <row r="94" spans="1:4" ht="11.25" customHeight="1" x14ac:dyDescent="0.25">
      <c r="B94" s="19"/>
    </row>
    <row r="95" spans="1:4" ht="11.25" customHeight="1" x14ac:dyDescent="0.25">
      <c r="B95" s="3"/>
    </row>
    <row r="96" spans="1:4" ht="11.25" customHeight="1" x14ac:dyDescent="0.25">
      <c r="B96" s="3"/>
    </row>
    <row r="97" spans="2:4" ht="11.25" customHeight="1" x14ac:dyDescent="0.25">
      <c r="B97" s="3"/>
      <c r="D97" s="71"/>
    </row>
    <row r="98" spans="2:4" ht="11.25" customHeight="1" x14ac:dyDescent="0.25">
      <c r="B98" s="3"/>
    </row>
    <row r="99" spans="2:4" ht="11.25" customHeight="1" x14ac:dyDescent="0.25">
      <c r="B99" s="3"/>
    </row>
    <row r="100" spans="2:4" ht="11.25" customHeight="1" x14ac:dyDescent="0.25">
      <c r="B100" s="3"/>
    </row>
  </sheetData>
  <mergeCells count="4">
    <mergeCell ref="B1:D1"/>
    <mergeCell ref="B2:D2"/>
    <mergeCell ref="B3:D3"/>
    <mergeCell ref="C62:C65"/>
  </mergeCells>
  <phoneticPr fontId="2" type="noConversion"/>
  <pageMargins left="1.1811023622047245" right="0.39370078740157483" top="0.51181102362204722" bottom="0.35433070866141736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1"/>
  <sheetViews>
    <sheetView topLeftCell="A28" workbookViewId="0">
      <selection activeCell="I22" sqref="I22"/>
    </sheetView>
  </sheetViews>
  <sheetFormatPr defaultRowHeight="13.2" x14ac:dyDescent="0.25"/>
  <cols>
    <col min="1" max="1" width="5.44140625" customWidth="1"/>
    <col min="2" max="2" width="33.5546875" customWidth="1"/>
    <col min="3" max="3" width="10.6640625" customWidth="1"/>
    <col min="4" max="4" width="10.109375" customWidth="1"/>
    <col min="5" max="5" width="10.33203125" customWidth="1"/>
    <col min="6" max="6" width="19.21875" customWidth="1"/>
  </cols>
  <sheetData>
    <row r="1" spans="1:6" ht="12" customHeight="1" x14ac:dyDescent="0.25">
      <c r="C1" s="283" t="s">
        <v>317</v>
      </c>
      <c r="D1" s="283"/>
      <c r="E1" s="283"/>
      <c r="F1" s="283"/>
    </row>
    <row r="2" spans="1:6" ht="14.25" customHeight="1" x14ac:dyDescent="0.25">
      <c r="C2" s="284" t="s">
        <v>486</v>
      </c>
      <c r="D2" s="283"/>
      <c r="E2" s="283"/>
      <c r="F2" s="283"/>
    </row>
    <row r="3" spans="1:6" ht="12" customHeight="1" x14ac:dyDescent="0.25">
      <c r="C3" s="283" t="s">
        <v>318</v>
      </c>
      <c r="D3" s="283"/>
      <c r="E3" s="283"/>
      <c r="F3" s="283"/>
    </row>
    <row r="4" spans="1:6" ht="18.75" customHeight="1" x14ac:dyDescent="0.25"/>
    <row r="5" spans="1:6" ht="27" customHeight="1" x14ac:dyDescent="0.25">
      <c r="B5" s="288" t="s">
        <v>487</v>
      </c>
      <c r="C5" s="288"/>
      <c r="D5" s="288"/>
      <c r="E5" s="288"/>
      <c r="F5" s="288"/>
    </row>
    <row r="6" spans="1:6" ht="6" customHeight="1" x14ac:dyDescent="0.25"/>
    <row r="7" spans="1:6" ht="13.8" thickBot="1" x14ac:dyDescent="0.3">
      <c r="F7" s="73" t="s">
        <v>109</v>
      </c>
    </row>
    <row r="8" spans="1:6" ht="13.5" customHeight="1" thickBot="1" x14ac:dyDescent="0.3">
      <c r="A8" s="289" t="s">
        <v>26</v>
      </c>
      <c r="B8" s="67" t="s">
        <v>99</v>
      </c>
      <c r="C8" s="67" t="s">
        <v>27</v>
      </c>
      <c r="D8" s="291" t="s">
        <v>15</v>
      </c>
      <c r="E8" s="292"/>
      <c r="F8" s="293"/>
    </row>
    <row r="9" spans="1:6" ht="43.2" customHeight="1" thickBot="1" x14ac:dyDescent="0.3">
      <c r="A9" s="290"/>
      <c r="B9" s="68"/>
      <c r="C9" s="68"/>
      <c r="D9" s="48" t="s">
        <v>80</v>
      </c>
      <c r="E9" s="86" t="s">
        <v>74</v>
      </c>
      <c r="F9" s="86" t="s">
        <v>83</v>
      </c>
    </row>
    <row r="10" spans="1:6" ht="14.25" customHeight="1" x14ac:dyDescent="0.25">
      <c r="A10" s="69">
        <v>1</v>
      </c>
      <c r="B10" s="51" t="s">
        <v>28</v>
      </c>
      <c r="C10" s="102">
        <f>D10+E10+F10</f>
        <v>77800</v>
      </c>
      <c r="D10" s="49"/>
      <c r="E10" s="49">
        <f>75600+2200</f>
        <v>77800</v>
      </c>
      <c r="F10" s="49"/>
    </row>
    <row r="11" spans="1:6" ht="14.25" customHeight="1" x14ac:dyDescent="0.25">
      <c r="A11" s="69">
        <v>2</v>
      </c>
      <c r="B11" s="87" t="s">
        <v>55</v>
      </c>
      <c r="C11" s="102">
        <f>D11+E11+F11</f>
        <v>6000</v>
      </c>
      <c r="D11" s="49">
        <v>6000</v>
      </c>
      <c r="E11" s="49"/>
      <c r="F11" s="49"/>
    </row>
    <row r="12" spans="1:6" ht="14.25" customHeight="1" x14ac:dyDescent="0.25">
      <c r="A12" s="69">
        <v>3</v>
      </c>
      <c r="B12" s="51" t="s">
        <v>41</v>
      </c>
      <c r="C12" s="102">
        <f t="shared" ref="C12:C47" si="0">D12+E12+F12</f>
        <v>200</v>
      </c>
      <c r="D12" s="49"/>
      <c r="E12" s="49">
        <v>200</v>
      </c>
      <c r="F12" s="49"/>
    </row>
    <row r="13" spans="1:6" x14ac:dyDescent="0.25">
      <c r="A13" s="69">
        <v>4</v>
      </c>
      <c r="B13" s="47" t="s">
        <v>29</v>
      </c>
      <c r="C13" s="102">
        <f t="shared" si="0"/>
        <v>8000</v>
      </c>
      <c r="D13" s="50">
        <v>6400</v>
      </c>
      <c r="E13" s="50">
        <v>1600</v>
      </c>
      <c r="F13" s="50"/>
    </row>
    <row r="14" spans="1:6" x14ac:dyDescent="0.25">
      <c r="A14" s="69">
        <v>5</v>
      </c>
      <c r="B14" s="47" t="s">
        <v>30</v>
      </c>
      <c r="C14" s="102">
        <f t="shared" si="0"/>
        <v>500</v>
      </c>
      <c r="D14" s="50"/>
      <c r="E14" s="50">
        <v>500</v>
      </c>
      <c r="F14" s="50"/>
    </row>
    <row r="15" spans="1:6" x14ac:dyDescent="0.25">
      <c r="A15" s="69">
        <v>6</v>
      </c>
      <c r="B15" s="47" t="s">
        <v>31</v>
      </c>
      <c r="C15" s="102">
        <f t="shared" si="0"/>
        <v>4700</v>
      </c>
      <c r="D15" s="50">
        <v>3000</v>
      </c>
      <c r="E15" s="50">
        <v>1700</v>
      </c>
      <c r="F15" s="50"/>
    </row>
    <row r="16" spans="1:6" x14ac:dyDescent="0.25">
      <c r="A16" s="69">
        <v>7</v>
      </c>
      <c r="B16" s="47" t="s">
        <v>32</v>
      </c>
      <c r="C16" s="102">
        <f t="shared" si="0"/>
        <v>6600</v>
      </c>
      <c r="D16" s="50">
        <v>1200</v>
      </c>
      <c r="E16" s="50">
        <v>5400</v>
      </c>
      <c r="F16" s="50"/>
    </row>
    <row r="17" spans="1:6" x14ac:dyDescent="0.25">
      <c r="A17" s="69">
        <v>8</v>
      </c>
      <c r="B17" s="47" t="s">
        <v>42</v>
      </c>
      <c r="C17" s="102">
        <f t="shared" si="0"/>
        <v>1200</v>
      </c>
      <c r="D17" s="50"/>
      <c r="E17" s="50">
        <v>1200</v>
      </c>
      <c r="F17" s="50"/>
    </row>
    <row r="18" spans="1:6" x14ac:dyDescent="0.25">
      <c r="A18" s="69">
        <v>9</v>
      </c>
      <c r="B18" s="47" t="s">
        <v>43</v>
      </c>
      <c r="C18" s="102">
        <f t="shared" si="0"/>
        <v>800</v>
      </c>
      <c r="D18" s="50"/>
      <c r="E18" s="50">
        <v>800</v>
      </c>
      <c r="F18" s="50"/>
    </row>
    <row r="19" spans="1:6" x14ac:dyDescent="0.25">
      <c r="A19" s="69">
        <v>10</v>
      </c>
      <c r="B19" s="47" t="s">
        <v>44</v>
      </c>
      <c r="C19" s="102">
        <f t="shared" si="0"/>
        <v>400</v>
      </c>
      <c r="D19" s="50"/>
      <c r="E19" s="50">
        <v>400</v>
      </c>
      <c r="F19" s="50"/>
    </row>
    <row r="20" spans="1:6" x14ac:dyDescent="0.25">
      <c r="A20" s="69">
        <v>11</v>
      </c>
      <c r="B20" s="47" t="s">
        <v>45</v>
      </c>
      <c r="C20" s="102">
        <f t="shared" si="0"/>
        <v>500</v>
      </c>
      <c r="D20" s="50"/>
      <c r="E20" s="50">
        <v>500</v>
      </c>
      <c r="F20" s="50"/>
    </row>
    <row r="21" spans="1:6" x14ac:dyDescent="0.25">
      <c r="A21" s="69">
        <v>12</v>
      </c>
      <c r="B21" s="47" t="s">
        <v>46</v>
      </c>
      <c r="C21" s="102">
        <f t="shared" si="0"/>
        <v>1000</v>
      </c>
      <c r="D21" s="50"/>
      <c r="E21" s="50">
        <v>1000</v>
      </c>
      <c r="F21" s="50"/>
    </row>
    <row r="22" spans="1:6" ht="26.4" x14ac:dyDescent="0.25">
      <c r="A22" s="69">
        <v>13</v>
      </c>
      <c r="B22" s="46" t="s">
        <v>84</v>
      </c>
      <c r="C22" s="102">
        <f t="shared" si="0"/>
        <v>1400</v>
      </c>
      <c r="D22" s="50">
        <v>1400</v>
      </c>
      <c r="E22" s="50"/>
      <c r="F22" s="50"/>
    </row>
    <row r="23" spans="1:6" x14ac:dyDescent="0.25">
      <c r="A23" s="69">
        <v>14</v>
      </c>
      <c r="B23" s="47" t="s">
        <v>33</v>
      </c>
      <c r="C23" s="102">
        <f t="shared" si="0"/>
        <v>11000</v>
      </c>
      <c r="D23" s="50">
        <v>11000</v>
      </c>
      <c r="E23" s="50"/>
      <c r="F23" s="50"/>
    </row>
    <row r="24" spans="1:6" x14ac:dyDescent="0.25">
      <c r="A24" s="69">
        <v>15</v>
      </c>
      <c r="B24" s="47" t="s">
        <v>34</v>
      </c>
      <c r="C24" s="102">
        <f t="shared" si="0"/>
        <v>15000</v>
      </c>
      <c r="D24" s="50">
        <v>15000</v>
      </c>
      <c r="E24" s="50"/>
      <c r="F24" s="50"/>
    </row>
    <row r="25" spans="1:6" x14ac:dyDescent="0.25">
      <c r="A25" s="69">
        <v>16</v>
      </c>
      <c r="B25" s="47" t="s">
        <v>36</v>
      </c>
      <c r="C25" s="102">
        <f t="shared" si="0"/>
        <v>1200</v>
      </c>
      <c r="D25" s="50">
        <v>600</v>
      </c>
      <c r="E25" s="50">
        <v>600</v>
      </c>
      <c r="F25" s="50"/>
    </row>
    <row r="26" spans="1:6" x14ac:dyDescent="0.25">
      <c r="A26" s="69">
        <v>17</v>
      </c>
      <c r="B26" s="47" t="s">
        <v>37</v>
      </c>
      <c r="C26" s="102">
        <f t="shared" si="0"/>
        <v>1600</v>
      </c>
      <c r="D26" s="50">
        <v>1400</v>
      </c>
      <c r="E26" s="50">
        <v>200</v>
      </c>
      <c r="F26" s="50"/>
    </row>
    <row r="27" spans="1:6" x14ac:dyDescent="0.25">
      <c r="A27" s="69">
        <v>18</v>
      </c>
      <c r="B27" s="47" t="s">
        <v>319</v>
      </c>
      <c r="C27" s="102">
        <f t="shared" si="0"/>
        <v>1000</v>
      </c>
      <c r="D27" s="50">
        <v>1000</v>
      </c>
      <c r="E27" s="50"/>
      <c r="F27" s="50"/>
    </row>
    <row r="28" spans="1:6" ht="16.8" customHeight="1" x14ac:dyDescent="0.25">
      <c r="A28" s="69">
        <v>19</v>
      </c>
      <c r="B28" s="46" t="s">
        <v>71</v>
      </c>
      <c r="C28" s="102">
        <f t="shared" si="0"/>
        <v>4000</v>
      </c>
      <c r="D28" s="50">
        <v>2000</v>
      </c>
      <c r="E28" s="50">
        <v>2000</v>
      </c>
      <c r="F28" s="50"/>
    </row>
    <row r="29" spans="1:6" x14ac:dyDescent="0.25">
      <c r="A29" s="69">
        <v>20</v>
      </c>
      <c r="B29" s="47" t="s">
        <v>38</v>
      </c>
      <c r="C29" s="102">
        <f t="shared" si="0"/>
        <v>3000</v>
      </c>
      <c r="D29" s="50">
        <v>3000</v>
      </c>
      <c r="E29" s="50"/>
      <c r="F29" s="50"/>
    </row>
    <row r="30" spans="1:6" x14ac:dyDescent="0.25">
      <c r="A30" s="69">
        <v>21</v>
      </c>
      <c r="B30" s="47" t="s">
        <v>35</v>
      </c>
      <c r="C30" s="102">
        <f t="shared" si="0"/>
        <v>21000</v>
      </c>
      <c r="D30" s="50">
        <v>15000</v>
      </c>
      <c r="E30" s="50">
        <v>6000</v>
      </c>
      <c r="F30" s="50"/>
    </row>
    <row r="31" spans="1:6" x14ac:dyDescent="0.25">
      <c r="A31" s="69">
        <v>22</v>
      </c>
      <c r="B31" s="47" t="s">
        <v>66</v>
      </c>
      <c r="C31" s="102">
        <f t="shared" si="0"/>
        <v>5000</v>
      </c>
      <c r="D31" s="50">
        <v>5000</v>
      </c>
      <c r="E31" s="50"/>
      <c r="F31" s="50"/>
    </row>
    <row r="32" spans="1:6" x14ac:dyDescent="0.25">
      <c r="A32" s="69">
        <v>23</v>
      </c>
      <c r="B32" s="83" t="s">
        <v>355</v>
      </c>
      <c r="C32" s="102">
        <f t="shared" si="0"/>
        <v>3100</v>
      </c>
      <c r="D32" s="50">
        <v>2500</v>
      </c>
      <c r="E32" s="50">
        <v>600</v>
      </c>
      <c r="F32" s="50"/>
    </row>
    <row r="33" spans="1:7" ht="19.8" customHeight="1" x14ac:dyDescent="0.25">
      <c r="A33" s="69">
        <v>24</v>
      </c>
      <c r="B33" s="84" t="s">
        <v>349</v>
      </c>
      <c r="C33" s="102">
        <f t="shared" si="0"/>
        <v>1400</v>
      </c>
      <c r="D33" s="50">
        <v>1000</v>
      </c>
      <c r="E33" s="50">
        <v>400</v>
      </c>
      <c r="F33" s="50"/>
    </row>
    <row r="34" spans="1:7" x14ac:dyDescent="0.25">
      <c r="A34" s="69">
        <v>25</v>
      </c>
      <c r="B34" s="47" t="s">
        <v>39</v>
      </c>
      <c r="C34" s="102">
        <f t="shared" si="0"/>
        <v>33900</v>
      </c>
      <c r="D34" s="50"/>
      <c r="E34" s="50">
        <v>2300</v>
      </c>
      <c r="F34" s="50">
        <v>31600</v>
      </c>
    </row>
    <row r="35" spans="1:7" x14ac:dyDescent="0.25">
      <c r="A35" s="69">
        <v>26</v>
      </c>
      <c r="B35" s="47" t="s">
        <v>105</v>
      </c>
      <c r="C35" s="102">
        <f t="shared" si="0"/>
        <v>8700</v>
      </c>
      <c r="D35" s="50">
        <v>500</v>
      </c>
      <c r="E35" s="50">
        <v>5000</v>
      </c>
      <c r="F35" s="50">
        <v>3200</v>
      </c>
    </row>
    <row r="36" spans="1:7" x14ac:dyDescent="0.25">
      <c r="A36" s="69">
        <v>27</v>
      </c>
      <c r="B36" s="47" t="s">
        <v>320</v>
      </c>
      <c r="C36" s="102">
        <f t="shared" si="0"/>
        <v>3000</v>
      </c>
      <c r="D36" s="50">
        <v>500</v>
      </c>
      <c r="E36" s="50">
        <v>2500</v>
      </c>
      <c r="F36" s="50"/>
    </row>
    <row r="37" spans="1:7" ht="26.4" x14ac:dyDescent="0.25">
      <c r="A37" s="69">
        <v>28</v>
      </c>
      <c r="B37" s="46" t="s">
        <v>111</v>
      </c>
      <c r="C37" s="102">
        <f t="shared" si="0"/>
        <v>18000</v>
      </c>
      <c r="D37" s="50">
        <v>700</v>
      </c>
      <c r="E37" s="50">
        <v>3700</v>
      </c>
      <c r="F37" s="50">
        <v>13600</v>
      </c>
    </row>
    <row r="38" spans="1:7" ht="16.5" customHeight="1" x14ac:dyDescent="0.25">
      <c r="A38" s="69">
        <v>29</v>
      </c>
      <c r="B38" s="46" t="s">
        <v>75</v>
      </c>
      <c r="C38" s="102">
        <f t="shared" si="0"/>
        <v>28000</v>
      </c>
      <c r="D38" s="50">
        <v>1000</v>
      </c>
      <c r="E38" s="50">
        <v>5000</v>
      </c>
      <c r="F38" s="50">
        <v>22000</v>
      </c>
    </row>
    <row r="39" spans="1:7" ht="15" customHeight="1" x14ac:dyDescent="0.25">
      <c r="A39" s="69">
        <v>30</v>
      </c>
      <c r="B39" s="46" t="s">
        <v>102</v>
      </c>
      <c r="C39" s="102">
        <f t="shared" si="0"/>
        <v>9000</v>
      </c>
      <c r="D39" s="50">
        <v>1100</v>
      </c>
      <c r="E39" s="50">
        <v>2100</v>
      </c>
      <c r="F39" s="50">
        <f>2800+3000</f>
        <v>5800</v>
      </c>
    </row>
    <row r="40" spans="1:7" ht="17.25" customHeight="1" x14ac:dyDescent="0.25">
      <c r="A40" s="69">
        <v>31</v>
      </c>
      <c r="B40" s="46" t="s">
        <v>103</v>
      </c>
      <c r="C40" s="102">
        <f t="shared" si="0"/>
        <v>85000</v>
      </c>
      <c r="D40" s="50">
        <v>5000</v>
      </c>
      <c r="E40" s="50"/>
      <c r="F40" s="50">
        <v>80000</v>
      </c>
    </row>
    <row r="41" spans="1:7" ht="14.25" customHeight="1" x14ac:dyDescent="0.25">
      <c r="A41" s="69">
        <v>32</v>
      </c>
      <c r="B41" s="46" t="s">
        <v>104</v>
      </c>
      <c r="C41" s="102">
        <f t="shared" si="0"/>
        <v>56000</v>
      </c>
      <c r="D41" s="50">
        <v>6000</v>
      </c>
      <c r="E41" s="50"/>
      <c r="F41" s="50">
        <v>50000</v>
      </c>
    </row>
    <row r="42" spans="1:7" ht="17.399999999999999" customHeight="1" x14ac:dyDescent="0.25">
      <c r="A42" s="69">
        <v>33</v>
      </c>
      <c r="B42" s="81" t="s">
        <v>347</v>
      </c>
      <c r="C42" s="102">
        <f t="shared" si="0"/>
        <v>32300</v>
      </c>
      <c r="D42" s="50">
        <v>300</v>
      </c>
      <c r="E42" s="50"/>
      <c r="F42" s="50">
        <v>32000</v>
      </c>
    </row>
    <row r="43" spans="1:7" x14ac:dyDescent="0.25">
      <c r="A43" s="69">
        <v>34</v>
      </c>
      <c r="B43" s="81" t="s">
        <v>426</v>
      </c>
      <c r="C43" s="102">
        <f t="shared" si="0"/>
        <v>4000</v>
      </c>
      <c r="D43" s="50">
        <v>4000</v>
      </c>
      <c r="E43" s="50"/>
      <c r="F43" s="50"/>
    </row>
    <row r="44" spans="1:7" x14ac:dyDescent="0.25">
      <c r="A44" s="69">
        <v>35</v>
      </c>
      <c r="B44" s="46" t="s">
        <v>48</v>
      </c>
      <c r="C44" s="102">
        <f t="shared" si="0"/>
        <v>23100</v>
      </c>
      <c r="D44" s="50">
        <v>13000</v>
      </c>
      <c r="E44" s="50">
        <v>100</v>
      </c>
      <c r="F44" s="50">
        <v>10000</v>
      </c>
    </row>
    <row r="45" spans="1:7" x14ac:dyDescent="0.25">
      <c r="A45" s="69">
        <v>36</v>
      </c>
      <c r="B45" s="46" t="s">
        <v>321</v>
      </c>
      <c r="C45" s="102">
        <f t="shared" si="0"/>
        <v>140000</v>
      </c>
      <c r="D45" s="50">
        <v>60000</v>
      </c>
      <c r="E45" s="50"/>
      <c r="F45" s="50">
        <v>80000</v>
      </c>
      <c r="G45" s="36"/>
    </row>
    <row r="46" spans="1:7" x14ac:dyDescent="0.25">
      <c r="A46" s="69">
        <v>37</v>
      </c>
      <c r="B46" s="81" t="s">
        <v>364</v>
      </c>
      <c r="C46" s="102">
        <f t="shared" si="0"/>
        <v>52000</v>
      </c>
      <c r="D46" s="50"/>
      <c r="E46" s="50"/>
      <c r="F46" s="50">
        <v>52000</v>
      </c>
    </row>
    <row r="47" spans="1:7" x14ac:dyDescent="0.25">
      <c r="A47" s="69">
        <v>38</v>
      </c>
      <c r="B47" s="46" t="s">
        <v>98</v>
      </c>
      <c r="C47" s="102">
        <f t="shared" si="0"/>
        <v>612000</v>
      </c>
      <c r="D47" s="50">
        <v>6000</v>
      </c>
      <c r="E47" s="50"/>
      <c r="F47" s="50">
        <v>606000</v>
      </c>
    </row>
    <row r="48" spans="1:7" ht="13.5" customHeight="1" x14ac:dyDescent="0.25">
      <c r="A48" s="70"/>
      <c r="B48" s="70" t="s">
        <v>40</v>
      </c>
      <c r="C48" s="102">
        <f>D48+E48+F48</f>
        <v>1281400</v>
      </c>
      <c r="D48" s="102">
        <f>SUM(D10:D47)</f>
        <v>173600</v>
      </c>
      <c r="E48" s="102">
        <f t="shared" ref="E48:F48" si="1">SUM(E10:E47)</f>
        <v>121600</v>
      </c>
      <c r="F48" s="102">
        <f t="shared" si="1"/>
        <v>986200</v>
      </c>
    </row>
    <row r="49" spans="3:5" ht="6.75" customHeight="1" x14ac:dyDescent="0.25">
      <c r="C49" s="4"/>
      <c r="D49" s="4"/>
      <c r="E49" s="4"/>
    </row>
    <row r="50" spans="3:5" x14ac:dyDescent="0.25">
      <c r="C50" s="26"/>
      <c r="D50" s="26"/>
      <c r="E50" s="26"/>
    </row>
    <row r="51" spans="3:5" x14ac:dyDescent="0.25">
      <c r="C51" s="4"/>
      <c r="D51" s="4"/>
      <c r="E51" s="4"/>
    </row>
  </sheetData>
  <mergeCells count="6">
    <mergeCell ref="C1:F1"/>
    <mergeCell ref="C2:F2"/>
    <mergeCell ref="B5:F5"/>
    <mergeCell ref="C3:F3"/>
    <mergeCell ref="A8:A9"/>
    <mergeCell ref="D8:F8"/>
  </mergeCells>
  <phoneticPr fontId="2" type="noConversion"/>
  <pageMargins left="0.85" right="0.17" top="0.78740157480314965" bottom="0.78740157480314965" header="0" footer="0"/>
  <pageSetup paperSize="9" orientation="portrait" horizontalDpi="300" verticalDpi="300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8"/>
  <sheetViews>
    <sheetView workbookViewId="0">
      <selection activeCell="N20" sqref="N20"/>
    </sheetView>
  </sheetViews>
  <sheetFormatPr defaultRowHeight="13.2" x14ac:dyDescent="0.25"/>
  <cols>
    <col min="1" max="1" width="7.6640625" customWidth="1"/>
    <col min="2" max="2" width="42.33203125" customWidth="1"/>
    <col min="3" max="3" width="9.88671875" customWidth="1"/>
    <col min="4" max="4" width="11.33203125" customWidth="1"/>
    <col min="5" max="5" width="8.6640625" customWidth="1"/>
    <col min="6" max="6" width="8.33203125" customWidth="1"/>
    <col min="7" max="7" width="11" customWidth="1"/>
    <col min="8" max="9" width="10.88671875" customWidth="1"/>
    <col min="10" max="10" width="9.6640625" customWidth="1"/>
    <col min="11" max="11" width="8.33203125" customWidth="1"/>
  </cols>
  <sheetData>
    <row r="1" spans="1:11" x14ac:dyDescent="0.25">
      <c r="C1" s="76"/>
      <c r="D1" s="76" t="s">
        <v>49</v>
      </c>
      <c r="E1" s="76"/>
    </row>
    <row r="2" spans="1:11" x14ac:dyDescent="0.25">
      <c r="C2" s="76"/>
      <c r="D2" s="74" t="s">
        <v>489</v>
      </c>
      <c r="E2" s="74"/>
      <c r="F2" s="76"/>
    </row>
    <row r="3" spans="1:11" x14ac:dyDescent="0.25">
      <c r="D3" t="s">
        <v>77</v>
      </c>
    </row>
    <row r="4" spans="1:11" ht="13.5" customHeight="1" x14ac:dyDescent="0.25"/>
    <row r="5" spans="1:11" ht="19.8" customHeight="1" x14ac:dyDescent="0.25">
      <c r="B5" s="288" t="s">
        <v>380</v>
      </c>
      <c r="C5" s="288"/>
      <c r="D5" s="288"/>
      <c r="E5" s="288"/>
      <c r="F5" s="288"/>
      <c r="G5" s="288"/>
    </row>
    <row r="7" spans="1:11" x14ac:dyDescent="0.25">
      <c r="F7" s="73" t="s">
        <v>109</v>
      </c>
    </row>
    <row r="8" spans="1:11" s="3" customFormat="1" ht="25.2" customHeight="1" x14ac:dyDescent="0.25">
      <c r="A8" s="297" t="s">
        <v>26</v>
      </c>
      <c r="B8" s="294" t="s">
        <v>99</v>
      </c>
      <c r="C8" s="294" t="s">
        <v>27</v>
      </c>
      <c r="D8" s="299" t="s">
        <v>376</v>
      </c>
      <c r="E8" s="300"/>
      <c r="F8" s="296" t="s">
        <v>377</v>
      </c>
      <c r="G8" s="296"/>
      <c r="H8" s="296"/>
      <c r="I8" s="296"/>
      <c r="J8" s="296"/>
      <c r="K8" s="296"/>
    </row>
    <row r="9" spans="1:11" ht="63" customHeight="1" x14ac:dyDescent="0.25">
      <c r="A9" s="298"/>
      <c r="B9" s="295"/>
      <c r="C9" s="295"/>
      <c r="D9" s="5" t="s">
        <v>378</v>
      </c>
      <c r="E9" s="5" t="s">
        <v>525</v>
      </c>
      <c r="F9" s="5" t="s">
        <v>372</v>
      </c>
      <c r="G9" s="133" t="s">
        <v>373</v>
      </c>
      <c r="H9" s="133" t="s">
        <v>467</v>
      </c>
      <c r="I9" s="133" t="s">
        <v>468</v>
      </c>
      <c r="J9" s="133" t="s">
        <v>374</v>
      </c>
      <c r="K9" s="134" t="s">
        <v>375</v>
      </c>
    </row>
    <row r="10" spans="1:11" x14ac:dyDescent="0.25">
      <c r="A10" s="6">
        <v>1</v>
      </c>
      <c r="B10" s="28" t="s">
        <v>355</v>
      </c>
      <c r="C10" s="34">
        <f t="shared" ref="C10:C26" si="0">SUM(D10:K10)</f>
        <v>797800</v>
      </c>
      <c r="D10" s="136">
        <v>657600</v>
      </c>
      <c r="E10" s="136">
        <v>2500</v>
      </c>
      <c r="F10" s="34">
        <v>74300</v>
      </c>
      <c r="G10" s="34">
        <v>37800</v>
      </c>
      <c r="H10" s="34">
        <v>23000</v>
      </c>
      <c r="I10" s="34">
        <v>2600</v>
      </c>
      <c r="J10" s="34"/>
      <c r="K10" s="34"/>
    </row>
    <row r="11" spans="1:11" x14ac:dyDescent="0.25">
      <c r="A11" s="6">
        <v>2</v>
      </c>
      <c r="B11" s="28" t="s">
        <v>349</v>
      </c>
      <c r="C11" s="34">
        <f t="shared" si="0"/>
        <v>529000</v>
      </c>
      <c r="D11" s="34">
        <v>436700</v>
      </c>
      <c r="E11" s="34"/>
      <c r="F11" s="34">
        <v>40100</v>
      </c>
      <c r="G11" s="34">
        <v>42500</v>
      </c>
      <c r="H11" s="34">
        <v>8400</v>
      </c>
      <c r="I11" s="34">
        <v>1300</v>
      </c>
      <c r="J11" s="34"/>
      <c r="K11" s="34"/>
    </row>
    <row r="12" spans="1:11" x14ac:dyDescent="0.25">
      <c r="A12" s="6">
        <v>3</v>
      </c>
      <c r="B12" s="28" t="s">
        <v>39</v>
      </c>
      <c r="C12" s="34">
        <f t="shared" si="0"/>
        <v>1291400</v>
      </c>
      <c r="D12" s="34">
        <v>1005500</v>
      </c>
      <c r="E12" s="34">
        <v>8700</v>
      </c>
      <c r="F12" s="34">
        <v>129400</v>
      </c>
      <c r="G12" s="34">
        <v>120700</v>
      </c>
      <c r="H12" s="34">
        <v>15200</v>
      </c>
      <c r="I12" s="34">
        <v>4100</v>
      </c>
      <c r="J12" s="268">
        <v>7800</v>
      </c>
      <c r="K12" s="34"/>
    </row>
    <row r="13" spans="1:11" x14ac:dyDescent="0.25">
      <c r="A13" s="6">
        <v>4</v>
      </c>
      <c r="B13" s="28" t="s">
        <v>75</v>
      </c>
      <c r="C13" s="34">
        <f t="shared" si="0"/>
        <v>1010000</v>
      </c>
      <c r="D13" s="34">
        <v>818000</v>
      </c>
      <c r="E13" s="34">
        <v>9900</v>
      </c>
      <c r="F13" s="34">
        <v>76200</v>
      </c>
      <c r="G13" s="34">
        <v>84000</v>
      </c>
      <c r="H13" s="34">
        <v>16300</v>
      </c>
      <c r="I13" s="34">
        <v>2300</v>
      </c>
      <c r="J13" s="268">
        <v>3300</v>
      </c>
      <c r="K13" s="34"/>
    </row>
    <row r="14" spans="1:11" x14ac:dyDescent="0.25">
      <c r="A14" s="6">
        <v>5</v>
      </c>
      <c r="B14" s="28" t="s">
        <v>111</v>
      </c>
      <c r="C14" s="34">
        <f t="shared" si="0"/>
        <v>730300</v>
      </c>
      <c r="D14" s="34">
        <v>574200</v>
      </c>
      <c r="E14" s="34">
        <v>2500</v>
      </c>
      <c r="F14" s="34">
        <v>66900</v>
      </c>
      <c r="G14" s="34">
        <v>66800</v>
      </c>
      <c r="H14" s="34">
        <v>12300</v>
      </c>
      <c r="I14" s="34">
        <v>2100</v>
      </c>
      <c r="J14" s="268">
        <v>5500</v>
      </c>
      <c r="K14" s="34"/>
    </row>
    <row r="15" spans="1:11" x14ac:dyDescent="0.25">
      <c r="A15" s="6">
        <v>6</v>
      </c>
      <c r="B15" s="28" t="s">
        <v>320</v>
      </c>
      <c r="C15" s="34">
        <f t="shared" si="0"/>
        <v>504700</v>
      </c>
      <c r="D15" s="34">
        <v>418600</v>
      </c>
      <c r="E15" s="34">
        <v>4900</v>
      </c>
      <c r="F15" s="34">
        <v>34300</v>
      </c>
      <c r="G15" s="34">
        <v>34200</v>
      </c>
      <c r="H15" s="34">
        <v>11500</v>
      </c>
      <c r="I15" s="34">
        <v>1200</v>
      </c>
      <c r="J15" s="268"/>
      <c r="K15" s="34"/>
    </row>
    <row r="16" spans="1:11" x14ac:dyDescent="0.25">
      <c r="A16" s="6">
        <v>7</v>
      </c>
      <c r="B16" s="28" t="s">
        <v>106</v>
      </c>
      <c r="C16" s="34">
        <f t="shared" si="0"/>
        <v>953700</v>
      </c>
      <c r="D16" s="34">
        <v>714700</v>
      </c>
      <c r="E16" s="34">
        <v>2500</v>
      </c>
      <c r="F16" s="34">
        <v>112800</v>
      </c>
      <c r="G16" s="34">
        <v>103500</v>
      </c>
      <c r="H16" s="34">
        <v>16200</v>
      </c>
      <c r="I16" s="34">
        <v>4000</v>
      </c>
      <c r="J16" s="268"/>
      <c r="K16" s="34"/>
    </row>
    <row r="17" spans="1:12" x14ac:dyDescent="0.25">
      <c r="A17" s="6">
        <v>8</v>
      </c>
      <c r="B17" s="28" t="s">
        <v>107</v>
      </c>
      <c r="C17" s="34">
        <f t="shared" si="0"/>
        <v>1174600</v>
      </c>
      <c r="D17" s="34">
        <v>891100</v>
      </c>
      <c r="E17" s="34">
        <v>9900</v>
      </c>
      <c r="F17" s="34">
        <v>136600</v>
      </c>
      <c r="G17" s="34">
        <v>116800</v>
      </c>
      <c r="H17" s="34">
        <v>15400</v>
      </c>
      <c r="I17" s="34">
        <v>4800</v>
      </c>
      <c r="J17" s="268"/>
      <c r="K17" s="34"/>
    </row>
    <row r="18" spans="1:12" x14ac:dyDescent="0.25">
      <c r="A18" s="6">
        <v>9</v>
      </c>
      <c r="B18" s="28" t="s">
        <v>69</v>
      </c>
      <c r="C18" s="34">
        <f t="shared" si="0"/>
        <v>405800</v>
      </c>
      <c r="D18" s="34">
        <v>340200</v>
      </c>
      <c r="E18" s="34"/>
      <c r="F18" s="34">
        <v>24500</v>
      </c>
      <c r="G18" s="34">
        <v>40400</v>
      </c>
      <c r="H18" s="34"/>
      <c r="I18" s="34">
        <v>700</v>
      </c>
      <c r="J18" s="268"/>
      <c r="K18" s="34"/>
    </row>
    <row r="19" spans="1:12" x14ac:dyDescent="0.25">
      <c r="A19" s="6">
        <v>10</v>
      </c>
      <c r="B19" s="28" t="s">
        <v>48</v>
      </c>
      <c r="C19" s="34">
        <f t="shared" si="0"/>
        <v>519900</v>
      </c>
      <c r="D19" s="34">
        <v>370300</v>
      </c>
      <c r="E19" s="34">
        <v>2500</v>
      </c>
      <c r="F19" s="34">
        <v>19100</v>
      </c>
      <c r="G19" s="34">
        <v>127300</v>
      </c>
      <c r="H19" s="34"/>
      <c r="I19" s="34">
        <v>700</v>
      </c>
      <c r="J19" s="268"/>
      <c r="K19" s="34"/>
    </row>
    <row r="20" spans="1:12" x14ac:dyDescent="0.25">
      <c r="A20" s="6">
        <v>11</v>
      </c>
      <c r="B20" s="28" t="s">
        <v>103</v>
      </c>
      <c r="C20" s="34">
        <f t="shared" si="0"/>
        <v>574800</v>
      </c>
      <c r="D20" s="34">
        <v>488400</v>
      </c>
      <c r="E20" s="34">
        <v>5900</v>
      </c>
      <c r="F20" s="34">
        <v>38400</v>
      </c>
      <c r="G20" s="34">
        <v>42100</v>
      </c>
      <c r="H20" s="34"/>
      <c r="I20" s="34"/>
      <c r="J20" s="268"/>
      <c r="K20" s="34"/>
    </row>
    <row r="21" spans="1:12" x14ac:dyDescent="0.25">
      <c r="A21" s="6">
        <v>12</v>
      </c>
      <c r="B21" s="28" t="s">
        <v>104</v>
      </c>
      <c r="C21" s="34">
        <f t="shared" si="0"/>
        <v>501200</v>
      </c>
      <c r="D21" s="34">
        <v>407900</v>
      </c>
      <c r="E21" s="34">
        <v>3500</v>
      </c>
      <c r="F21" s="34">
        <v>29500</v>
      </c>
      <c r="G21" s="34">
        <v>60300</v>
      </c>
      <c r="H21" s="34"/>
      <c r="I21" s="34"/>
      <c r="J21" s="268"/>
      <c r="K21" s="34"/>
    </row>
    <row r="22" spans="1:12" x14ac:dyDescent="0.25">
      <c r="A22" s="6">
        <v>13</v>
      </c>
      <c r="B22" s="81" t="s">
        <v>426</v>
      </c>
      <c r="C22" s="34">
        <f t="shared" si="0"/>
        <v>131300</v>
      </c>
      <c r="D22" s="34"/>
      <c r="E22" s="34"/>
      <c r="F22" s="34"/>
      <c r="G22" s="34">
        <v>131300</v>
      </c>
      <c r="H22" s="34"/>
      <c r="I22" s="34"/>
      <c r="J22" s="268"/>
      <c r="K22" s="34"/>
    </row>
    <row r="23" spans="1:12" x14ac:dyDescent="0.25">
      <c r="A23" s="6">
        <v>14</v>
      </c>
      <c r="B23" s="28" t="s">
        <v>347</v>
      </c>
      <c r="C23" s="34">
        <f t="shared" si="0"/>
        <v>19000</v>
      </c>
      <c r="D23" s="34"/>
      <c r="E23" s="34"/>
      <c r="F23" s="34"/>
      <c r="G23" s="34"/>
      <c r="H23" s="34"/>
      <c r="I23" s="34"/>
      <c r="J23" s="268">
        <v>19000</v>
      </c>
      <c r="K23" s="34"/>
    </row>
    <row r="24" spans="1:12" ht="26.4" x14ac:dyDescent="0.25">
      <c r="A24" s="6">
        <v>15</v>
      </c>
      <c r="B24" s="28" t="s">
        <v>446</v>
      </c>
      <c r="C24" s="34">
        <f t="shared" si="0"/>
        <v>64800</v>
      </c>
      <c r="D24" s="34">
        <v>64700</v>
      </c>
      <c r="E24" s="34"/>
      <c r="F24" s="34"/>
      <c r="G24" s="34"/>
      <c r="H24" s="34"/>
      <c r="I24" s="34">
        <v>100</v>
      </c>
      <c r="J24" s="268"/>
      <c r="K24" s="34"/>
    </row>
    <row r="25" spans="1:12" ht="26.4" x14ac:dyDescent="0.25">
      <c r="A25" s="6">
        <v>16</v>
      </c>
      <c r="B25" s="28" t="s">
        <v>447</v>
      </c>
      <c r="C25" s="34">
        <f t="shared" si="0"/>
        <v>18400</v>
      </c>
      <c r="D25" s="34"/>
      <c r="E25" s="34"/>
      <c r="F25" s="34"/>
      <c r="G25" s="34"/>
      <c r="H25" s="34"/>
      <c r="I25" s="34"/>
      <c r="J25" s="268">
        <v>18400</v>
      </c>
      <c r="K25" s="34"/>
    </row>
    <row r="26" spans="1:12" x14ac:dyDescent="0.25">
      <c r="A26" s="6">
        <v>17</v>
      </c>
      <c r="B26" s="28" t="s">
        <v>28</v>
      </c>
      <c r="C26" s="34">
        <f t="shared" si="0"/>
        <v>155000</v>
      </c>
      <c r="D26" s="34"/>
      <c r="E26" s="34"/>
      <c r="F26" s="34"/>
      <c r="G26" s="34"/>
      <c r="H26" s="34"/>
      <c r="I26" s="34"/>
      <c r="J26" s="268"/>
      <c r="K26" s="34">
        <v>155000</v>
      </c>
    </row>
    <row r="27" spans="1:12" s="135" customFormat="1" ht="16.2" customHeight="1" x14ac:dyDescent="0.25">
      <c r="A27" s="14"/>
      <c r="B27" s="15" t="s">
        <v>40</v>
      </c>
      <c r="C27" s="100">
        <f>SUM(C10:C26)</f>
        <v>9381700</v>
      </c>
      <c r="D27" s="100">
        <f>SUM(D10:D26)</f>
        <v>7187900</v>
      </c>
      <c r="E27" s="100">
        <f>SUM(E10:E26)</f>
        <v>52800</v>
      </c>
      <c r="F27" s="100">
        <f>SUM(F10:F26)</f>
        <v>782100</v>
      </c>
      <c r="G27" s="100">
        <f>SUM(G10:G26)</f>
        <v>1007700</v>
      </c>
      <c r="H27" s="100">
        <f t="shared" ref="H27:I27" si="1">SUM(H10:H26)</f>
        <v>118300</v>
      </c>
      <c r="I27" s="100">
        <f t="shared" si="1"/>
        <v>23900</v>
      </c>
      <c r="J27" s="270">
        <f>SUM(J10:J26)</f>
        <v>54000</v>
      </c>
      <c r="K27" s="100">
        <f>SUM(K10:K26)</f>
        <v>155000</v>
      </c>
      <c r="L27"/>
    </row>
    <row r="28" spans="1:12" x14ac:dyDescent="0.25">
      <c r="C28" s="269"/>
      <c r="D28" s="27"/>
      <c r="G28" s="36"/>
    </row>
  </sheetData>
  <mergeCells count="6">
    <mergeCell ref="B8:B9"/>
    <mergeCell ref="C8:C9"/>
    <mergeCell ref="F8:K8"/>
    <mergeCell ref="A8:A9"/>
    <mergeCell ref="B5:G5"/>
    <mergeCell ref="D8:E8"/>
  </mergeCells>
  <phoneticPr fontId="2" type="noConversion"/>
  <pageMargins left="1.1811023622047245" right="0.39370078740157483" top="0.78740157480314965" bottom="0.27" header="0" footer="0"/>
  <pageSetup paperSize="9" scale="94" orientation="landscape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50"/>
  <sheetViews>
    <sheetView workbookViewId="0">
      <selection activeCell="M32" sqref="M32"/>
    </sheetView>
  </sheetViews>
  <sheetFormatPr defaultColWidth="9.109375" defaultRowHeight="13.2" x14ac:dyDescent="0.25"/>
  <cols>
    <col min="1" max="1" width="2.6640625" style="53" customWidth="1"/>
    <col min="2" max="2" width="6.6640625" style="53" customWidth="1"/>
    <col min="3" max="9" width="9.109375" style="53"/>
    <col min="10" max="10" width="2" style="53" customWidth="1"/>
    <col min="11" max="16384" width="9.109375" style="53"/>
  </cols>
  <sheetData>
    <row r="1" spans="2:10" x14ac:dyDescent="0.25">
      <c r="G1" t="s">
        <v>49</v>
      </c>
      <c r="H1"/>
    </row>
    <row r="2" spans="2:10" x14ac:dyDescent="0.25">
      <c r="G2" s="73" t="s">
        <v>489</v>
      </c>
      <c r="H2"/>
    </row>
    <row r="3" spans="2:10" x14ac:dyDescent="0.25">
      <c r="G3" s="73" t="s">
        <v>448</v>
      </c>
      <c r="H3"/>
    </row>
    <row r="4" spans="2:10" ht="6.75" customHeight="1" x14ac:dyDescent="0.25"/>
    <row r="5" spans="2:10" x14ac:dyDescent="0.25">
      <c r="B5" s="304" t="s">
        <v>490</v>
      </c>
      <c r="C5" s="304"/>
      <c r="D5" s="304"/>
      <c r="E5" s="304"/>
      <c r="F5" s="304"/>
      <c r="G5" s="304"/>
      <c r="H5" s="304"/>
      <c r="I5" s="304"/>
      <c r="J5" s="304"/>
    </row>
    <row r="6" spans="2:10" ht="7.5" customHeight="1" x14ac:dyDescent="0.25"/>
    <row r="7" spans="2:10" x14ac:dyDescent="0.25">
      <c r="B7" s="31" t="s">
        <v>26</v>
      </c>
      <c r="C7" s="305" t="s">
        <v>172</v>
      </c>
      <c r="D7" s="305"/>
      <c r="E7" s="305"/>
      <c r="F7" s="305"/>
      <c r="G7" s="305"/>
      <c r="H7" s="305"/>
      <c r="I7" s="305"/>
      <c r="J7" s="305"/>
    </row>
    <row r="8" spans="2:10" x14ac:dyDescent="0.25">
      <c r="B8" s="37">
        <v>1</v>
      </c>
      <c r="C8" s="301" t="s">
        <v>513</v>
      </c>
      <c r="D8" s="302"/>
      <c r="E8" s="302"/>
      <c r="F8" s="302"/>
      <c r="G8" s="302"/>
      <c r="H8" s="302"/>
      <c r="I8" s="302"/>
      <c r="J8" s="303"/>
    </row>
    <row r="9" spans="2:10" x14ac:dyDescent="0.25">
      <c r="B9" s="37">
        <v>2</v>
      </c>
      <c r="C9" s="301" t="s">
        <v>173</v>
      </c>
      <c r="D9" s="302"/>
      <c r="E9" s="302"/>
      <c r="F9" s="302"/>
      <c r="G9" s="302"/>
      <c r="H9" s="302"/>
      <c r="I9" s="302"/>
      <c r="J9" s="303"/>
    </row>
    <row r="10" spans="2:10" x14ac:dyDescent="0.25">
      <c r="B10" s="37">
        <v>3</v>
      </c>
      <c r="C10" s="301" t="s">
        <v>174</v>
      </c>
      <c r="D10" s="302"/>
      <c r="E10" s="302"/>
      <c r="F10" s="302"/>
      <c r="G10" s="302"/>
      <c r="H10" s="302"/>
      <c r="I10" s="302"/>
      <c r="J10" s="303"/>
    </row>
    <row r="11" spans="2:10" x14ac:dyDescent="0.25">
      <c r="B11" s="37">
        <v>4</v>
      </c>
      <c r="C11" s="301" t="s">
        <v>175</v>
      </c>
      <c r="D11" s="302"/>
      <c r="E11" s="302"/>
      <c r="F11" s="302"/>
      <c r="G11" s="302"/>
      <c r="H11" s="302"/>
      <c r="I11" s="302"/>
      <c r="J11" s="303"/>
    </row>
    <row r="12" spans="2:10" x14ac:dyDescent="0.25">
      <c r="B12" s="37">
        <v>5</v>
      </c>
      <c r="C12" s="301" t="s">
        <v>176</v>
      </c>
      <c r="D12" s="302"/>
      <c r="E12" s="302"/>
      <c r="F12" s="302"/>
      <c r="G12" s="302"/>
      <c r="H12" s="302"/>
      <c r="I12" s="302"/>
      <c r="J12" s="303"/>
    </row>
    <row r="13" spans="2:10" x14ac:dyDescent="0.25">
      <c r="B13" s="37">
        <v>6</v>
      </c>
      <c r="C13" s="301" t="s">
        <v>177</v>
      </c>
      <c r="D13" s="302"/>
      <c r="E13" s="302"/>
      <c r="F13" s="302"/>
      <c r="G13" s="302"/>
      <c r="H13" s="302"/>
      <c r="I13" s="302"/>
      <c r="J13" s="303"/>
    </row>
    <row r="14" spans="2:10" x14ac:dyDescent="0.25">
      <c r="B14" s="37">
        <v>7</v>
      </c>
      <c r="C14" s="301" t="s">
        <v>178</v>
      </c>
      <c r="D14" s="302"/>
      <c r="E14" s="302"/>
      <c r="F14" s="302"/>
      <c r="G14" s="302"/>
      <c r="H14" s="302"/>
      <c r="I14" s="302"/>
      <c r="J14" s="303"/>
    </row>
    <row r="15" spans="2:10" x14ac:dyDescent="0.25">
      <c r="B15" s="37">
        <v>8</v>
      </c>
      <c r="C15" s="301" t="s">
        <v>179</v>
      </c>
      <c r="D15" s="302"/>
      <c r="E15" s="302"/>
      <c r="F15" s="302"/>
      <c r="G15" s="302"/>
      <c r="H15" s="302"/>
      <c r="I15" s="302"/>
      <c r="J15" s="303"/>
    </row>
    <row r="16" spans="2:10" x14ac:dyDescent="0.25">
      <c r="B16" s="37">
        <v>9</v>
      </c>
      <c r="C16" s="301" t="s">
        <v>180</v>
      </c>
      <c r="D16" s="302"/>
      <c r="E16" s="302"/>
      <c r="F16" s="302"/>
      <c r="G16" s="302"/>
      <c r="H16" s="302"/>
      <c r="I16" s="302"/>
      <c r="J16" s="303"/>
    </row>
    <row r="17" spans="2:10" x14ac:dyDescent="0.25">
      <c r="B17" s="37">
        <v>10</v>
      </c>
      <c r="C17" s="301" t="s">
        <v>181</v>
      </c>
      <c r="D17" s="302"/>
      <c r="E17" s="302"/>
      <c r="F17" s="302"/>
      <c r="G17" s="302"/>
      <c r="H17" s="302"/>
      <c r="I17" s="302"/>
      <c r="J17" s="303"/>
    </row>
    <row r="18" spans="2:10" x14ac:dyDescent="0.25">
      <c r="B18" s="37">
        <v>11</v>
      </c>
      <c r="C18" s="301" t="s">
        <v>182</v>
      </c>
      <c r="D18" s="302"/>
      <c r="E18" s="302"/>
      <c r="F18" s="302"/>
      <c r="G18" s="302"/>
      <c r="H18" s="302"/>
      <c r="I18" s="302"/>
      <c r="J18" s="303"/>
    </row>
    <row r="19" spans="2:10" x14ac:dyDescent="0.25">
      <c r="B19" s="37">
        <v>12</v>
      </c>
      <c r="C19" s="301" t="s">
        <v>183</v>
      </c>
      <c r="D19" s="302"/>
      <c r="E19" s="302"/>
      <c r="F19" s="302"/>
      <c r="G19" s="302"/>
      <c r="H19" s="302"/>
      <c r="I19" s="302"/>
      <c r="J19" s="303"/>
    </row>
    <row r="20" spans="2:10" x14ac:dyDescent="0.25">
      <c r="B20" s="37">
        <v>13</v>
      </c>
      <c r="C20" s="301" t="s">
        <v>184</v>
      </c>
      <c r="D20" s="302"/>
      <c r="E20" s="302"/>
      <c r="F20" s="302"/>
      <c r="G20" s="302"/>
      <c r="H20" s="302"/>
      <c r="I20" s="302"/>
      <c r="J20" s="303"/>
    </row>
    <row r="21" spans="2:10" x14ac:dyDescent="0.25">
      <c r="B21" s="37">
        <v>14</v>
      </c>
      <c r="C21" s="301" t="s">
        <v>354</v>
      </c>
      <c r="D21" s="302"/>
      <c r="E21" s="302"/>
      <c r="F21" s="302"/>
      <c r="G21" s="302"/>
      <c r="H21" s="302"/>
      <c r="I21" s="302"/>
      <c r="J21" s="303"/>
    </row>
    <row r="22" spans="2:10" x14ac:dyDescent="0.25">
      <c r="B22" s="37">
        <v>15</v>
      </c>
      <c r="C22" s="301" t="s">
        <v>350</v>
      </c>
      <c r="D22" s="302"/>
      <c r="E22" s="302"/>
      <c r="F22" s="302"/>
      <c r="G22" s="302"/>
      <c r="H22" s="302"/>
      <c r="I22" s="302"/>
      <c r="J22" s="303"/>
    </row>
    <row r="23" spans="2:10" x14ac:dyDescent="0.25">
      <c r="B23" s="37">
        <v>16</v>
      </c>
      <c r="C23" s="301" t="s">
        <v>185</v>
      </c>
      <c r="D23" s="302"/>
      <c r="E23" s="302"/>
      <c r="F23" s="302"/>
      <c r="G23" s="302"/>
      <c r="H23" s="302"/>
      <c r="I23" s="302"/>
      <c r="J23" s="303"/>
    </row>
    <row r="24" spans="2:10" x14ac:dyDescent="0.25">
      <c r="B24" s="37">
        <v>17</v>
      </c>
      <c r="C24" s="301" t="s">
        <v>186</v>
      </c>
      <c r="D24" s="302"/>
      <c r="E24" s="302"/>
      <c r="F24" s="302"/>
      <c r="G24" s="302"/>
      <c r="H24" s="302"/>
      <c r="I24" s="302"/>
      <c r="J24" s="303"/>
    </row>
    <row r="25" spans="2:10" x14ac:dyDescent="0.25">
      <c r="B25" s="37">
        <v>18</v>
      </c>
      <c r="C25" s="301" t="s">
        <v>187</v>
      </c>
      <c r="D25" s="302"/>
      <c r="E25" s="302"/>
      <c r="F25" s="302"/>
      <c r="G25" s="302"/>
      <c r="H25" s="302"/>
      <c r="I25" s="302"/>
      <c r="J25" s="303"/>
    </row>
    <row r="26" spans="2:10" x14ac:dyDescent="0.25">
      <c r="B26" s="37">
        <v>19</v>
      </c>
      <c r="C26" s="301" t="s">
        <v>325</v>
      </c>
      <c r="D26" s="302"/>
      <c r="E26" s="302"/>
      <c r="F26" s="302"/>
      <c r="G26" s="302"/>
      <c r="H26" s="302"/>
      <c r="I26" s="302"/>
      <c r="J26" s="303"/>
    </row>
    <row r="27" spans="2:10" x14ac:dyDescent="0.25">
      <c r="B27" s="37">
        <v>20</v>
      </c>
      <c r="C27" s="301" t="s">
        <v>188</v>
      </c>
      <c r="D27" s="302"/>
      <c r="E27" s="302"/>
      <c r="F27" s="302"/>
      <c r="G27" s="302"/>
      <c r="H27" s="302"/>
      <c r="I27" s="302"/>
      <c r="J27" s="303"/>
    </row>
    <row r="28" spans="2:10" x14ac:dyDescent="0.25">
      <c r="B28" s="37">
        <v>21</v>
      </c>
      <c r="C28" s="301" t="s">
        <v>189</v>
      </c>
      <c r="D28" s="302"/>
      <c r="E28" s="302"/>
      <c r="F28" s="302"/>
      <c r="G28" s="302"/>
      <c r="H28" s="302"/>
      <c r="I28" s="302"/>
      <c r="J28" s="303"/>
    </row>
    <row r="29" spans="2:10" x14ac:dyDescent="0.25">
      <c r="B29" s="37">
        <v>22</v>
      </c>
      <c r="C29" s="301" t="s">
        <v>190</v>
      </c>
      <c r="D29" s="302"/>
      <c r="E29" s="302"/>
      <c r="F29" s="302"/>
      <c r="G29" s="302"/>
      <c r="H29" s="302"/>
      <c r="I29" s="302"/>
      <c r="J29" s="303"/>
    </row>
    <row r="30" spans="2:10" x14ac:dyDescent="0.25">
      <c r="B30" s="37">
        <v>23</v>
      </c>
      <c r="C30" s="301" t="s">
        <v>191</v>
      </c>
      <c r="D30" s="302"/>
      <c r="E30" s="302"/>
      <c r="F30" s="302"/>
      <c r="G30" s="302"/>
      <c r="H30" s="302"/>
      <c r="I30" s="302"/>
      <c r="J30" s="303"/>
    </row>
    <row r="31" spans="2:10" x14ac:dyDescent="0.25">
      <c r="B31" s="37">
        <v>24</v>
      </c>
      <c r="C31" s="301" t="s">
        <v>301</v>
      </c>
      <c r="D31" s="302"/>
      <c r="E31" s="302"/>
      <c r="F31" s="302"/>
      <c r="G31" s="302"/>
      <c r="H31" s="302"/>
      <c r="I31" s="302"/>
      <c r="J31" s="303"/>
    </row>
    <row r="32" spans="2:10" x14ac:dyDescent="0.25">
      <c r="B32" s="37">
        <v>25</v>
      </c>
      <c r="C32" s="301" t="s">
        <v>302</v>
      </c>
      <c r="D32" s="302"/>
      <c r="E32" s="302"/>
      <c r="F32" s="302"/>
      <c r="G32" s="302"/>
      <c r="H32" s="302"/>
      <c r="I32" s="302"/>
      <c r="J32" s="303"/>
    </row>
    <row r="33" spans="2:10" x14ac:dyDescent="0.25">
      <c r="B33" s="37">
        <v>26</v>
      </c>
      <c r="C33" s="301" t="s">
        <v>351</v>
      </c>
      <c r="D33" s="302"/>
      <c r="E33" s="302"/>
      <c r="F33" s="302"/>
      <c r="G33" s="302"/>
      <c r="H33" s="302"/>
      <c r="I33" s="302"/>
      <c r="J33" s="303"/>
    </row>
    <row r="34" spans="2:10" x14ac:dyDescent="0.25">
      <c r="B34" s="37">
        <v>27</v>
      </c>
      <c r="C34" s="301" t="s">
        <v>432</v>
      </c>
      <c r="D34" s="302"/>
      <c r="E34" s="302"/>
      <c r="F34" s="302"/>
      <c r="G34" s="302"/>
      <c r="H34" s="302"/>
      <c r="I34" s="302"/>
      <c r="J34" s="303"/>
    </row>
    <row r="35" spans="2:10" x14ac:dyDescent="0.25">
      <c r="B35" s="37">
        <v>28</v>
      </c>
      <c r="C35" s="301" t="s">
        <v>192</v>
      </c>
      <c r="D35" s="302"/>
      <c r="E35" s="302"/>
      <c r="F35" s="302"/>
      <c r="G35" s="302"/>
      <c r="H35" s="302"/>
      <c r="I35" s="302"/>
      <c r="J35" s="303"/>
    </row>
    <row r="36" spans="2:10" x14ac:dyDescent="0.25">
      <c r="B36" s="37">
        <v>29</v>
      </c>
      <c r="C36" s="301" t="s">
        <v>193</v>
      </c>
      <c r="D36" s="302"/>
      <c r="E36" s="302"/>
      <c r="F36" s="302"/>
      <c r="G36" s="302"/>
      <c r="H36" s="302"/>
      <c r="I36" s="302"/>
      <c r="J36" s="303"/>
    </row>
    <row r="37" spans="2:10" x14ac:dyDescent="0.25">
      <c r="B37" s="37">
        <v>30</v>
      </c>
      <c r="C37" s="301" t="s">
        <v>194</v>
      </c>
      <c r="D37" s="302"/>
      <c r="E37" s="302"/>
      <c r="F37" s="302"/>
      <c r="G37" s="302"/>
      <c r="H37" s="302"/>
      <c r="I37" s="302"/>
      <c r="J37" s="303"/>
    </row>
    <row r="38" spans="2:10" x14ac:dyDescent="0.25">
      <c r="B38" s="37">
        <v>31</v>
      </c>
      <c r="C38" s="301" t="s">
        <v>195</v>
      </c>
      <c r="D38" s="302"/>
      <c r="E38" s="302"/>
      <c r="F38" s="302"/>
      <c r="G38" s="302"/>
      <c r="H38" s="302"/>
      <c r="I38" s="302"/>
      <c r="J38" s="303"/>
    </row>
    <row r="39" spans="2:10" x14ac:dyDescent="0.25">
      <c r="B39" s="37">
        <v>32</v>
      </c>
      <c r="C39" s="301" t="s">
        <v>196</v>
      </c>
      <c r="D39" s="302"/>
      <c r="E39" s="302"/>
      <c r="F39" s="302"/>
      <c r="G39" s="302"/>
      <c r="H39" s="302"/>
      <c r="I39" s="302"/>
      <c r="J39" s="303"/>
    </row>
    <row r="40" spans="2:10" x14ac:dyDescent="0.25">
      <c r="B40" s="37">
        <v>33</v>
      </c>
      <c r="C40" s="301" t="s">
        <v>323</v>
      </c>
      <c r="D40" s="302"/>
      <c r="E40" s="302"/>
      <c r="F40" s="302"/>
      <c r="G40" s="302"/>
      <c r="H40" s="302"/>
      <c r="I40" s="302"/>
      <c r="J40" s="303"/>
    </row>
    <row r="41" spans="2:10" x14ac:dyDescent="0.25">
      <c r="B41" s="37">
        <v>34</v>
      </c>
      <c r="C41" s="301" t="s">
        <v>197</v>
      </c>
      <c r="D41" s="302"/>
      <c r="E41" s="302"/>
      <c r="F41" s="302"/>
      <c r="G41" s="302"/>
      <c r="H41" s="302"/>
      <c r="I41" s="302"/>
      <c r="J41" s="303"/>
    </row>
    <row r="42" spans="2:10" x14ac:dyDescent="0.25">
      <c r="B42" s="37">
        <v>35</v>
      </c>
      <c r="C42" s="301" t="s">
        <v>198</v>
      </c>
      <c r="D42" s="302"/>
      <c r="E42" s="302"/>
      <c r="F42" s="302"/>
      <c r="G42" s="302"/>
      <c r="H42" s="302"/>
      <c r="I42" s="302"/>
      <c r="J42" s="303"/>
    </row>
    <row r="43" spans="2:10" x14ac:dyDescent="0.25">
      <c r="B43" s="37">
        <v>36</v>
      </c>
      <c r="C43" s="301" t="s">
        <v>199</v>
      </c>
      <c r="D43" s="302"/>
      <c r="E43" s="302"/>
      <c r="F43" s="302"/>
      <c r="G43" s="302"/>
      <c r="H43" s="302"/>
      <c r="I43" s="302"/>
      <c r="J43" s="303"/>
    </row>
    <row r="44" spans="2:10" x14ac:dyDescent="0.25">
      <c r="B44" s="37">
        <v>37</v>
      </c>
      <c r="C44" s="301" t="s">
        <v>200</v>
      </c>
      <c r="D44" s="302"/>
      <c r="E44" s="302"/>
      <c r="F44" s="302"/>
      <c r="G44" s="302"/>
      <c r="H44" s="302"/>
      <c r="I44" s="302"/>
      <c r="J44" s="303"/>
    </row>
    <row r="45" spans="2:10" x14ac:dyDescent="0.25">
      <c r="B45" s="37">
        <v>38</v>
      </c>
      <c r="C45" s="301" t="s">
        <v>363</v>
      </c>
      <c r="D45" s="302"/>
      <c r="E45" s="302"/>
      <c r="F45" s="302"/>
      <c r="G45" s="302"/>
      <c r="H45" s="302"/>
      <c r="I45" s="302"/>
      <c r="J45" s="303"/>
    </row>
    <row r="46" spans="2:10" x14ac:dyDescent="0.25">
      <c r="B46" s="37">
        <v>39</v>
      </c>
      <c r="C46" s="301" t="s">
        <v>201</v>
      </c>
      <c r="D46" s="302"/>
      <c r="E46" s="302"/>
      <c r="F46" s="302"/>
      <c r="G46" s="302"/>
      <c r="H46" s="302"/>
      <c r="I46" s="302"/>
      <c r="J46" s="303"/>
    </row>
    <row r="47" spans="2:10" x14ac:dyDescent="0.25">
      <c r="B47" s="37">
        <v>40</v>
      </c>
      <c r="C47" s="301" t="s">
        <v>324</v>
      </c>
      <c r="D47" s="302"/>
      <c r="E47" s="302"/>
      <c r="F47" s="302"/>
      <c r="G47" s="302"/>
      <c r="H47" s="302"/>
      <c r="I47" s="302"/>
      <c r="J47" s="303"/>
    </row>
    <row r="48" spans="2:10" x14ac:dyDescent="0.25">
      <c r="B48" s="37">
        <v>41</v>
      </c>
      <c r="C48" s="301" t="s">
        <v>202</v>
      </c>
      <c r="D48" s="302"/>
      <c r="E48" s="302"/>
      <c r="F48" s="302"/>
      <c r="G48" s="302"/>
      <c r="H48" s="302"/>
      <c r="I48" s="302"/>
      <c r="J48" s="303"/>
    </row>
    <row r="49" spans="2:10" x14ac:dyDescent="0.25">
      <c r="B49" s="37">
        <v>42</v>
      </c>
      <c r="C49" s="301" t="s">
        <v>488</v>
      </c>
      <c r="D49" s="302"/>
      <c r="E49" s="302"/>
      <c r="F49" s="302"/>
      <c r="G49" s="302"/>
      <c r="H49" s="302"/>
      <c r="I49" s="302"/>
      <c r="J49" s="303"/>
    </row>
    <row r="50" spans="2:10" x14ac:dyDescent="0.25">
      <c r="F50" s="62"/>
      <c r="G50" s="62"/>
    </row>
  </sheetData>
  <mergeCells count="44">
    <mergeCell ref="C49:J49"/>
    <mergeCell ref="B5:J5"/>
    <mergeCell ref="C7:J7"/>
    <mergeCell ref="C8:J8"/>
    <mergeCell ref="C9:J9"/>
    <mergeCell ref="C10:J10"/>
    <mergeCell ref="C11:J11"/>
    <mergeCell ref="C12:J12"/>
    <mergeCell ref="C13:J13"/>
    <mergeCell ref="C14:J14"/>
    <mergeCell ref="C15:J15"/>
    <mergeCell ref="C16:J16"/>
    <mergeCell ref="C17:J17"/>
    <mergeCell ref="C18:J18"/>
    <mergeCell ref="C19:J19"/>
    <mergeCell ref="C20:J20"/>
    <mergeCell ref="C26:J26"/>
    <mergeCell ref="C27:J27"/>
    <mergeCell ref="C28:J28"/>
    <mergeCell ref="C21:J21"/>
    <mergeCell ref="C22:J22"/>
    <mergeCell ref="C23:J23"/>
    <mergeCell ref="C24:J24"/>
    <mergeCell ref="C25:J25"/>
    <mergeCell ref="C30:J30"/>
    <mergeCell ref="C31:J31"/>
    <mergeCell ref="C32:J32"/>
    <mergeCell ref="C33:J33"/>
    <mergeCell ref="C29:J29"/>
    <mergeCell ref="C34:J34"/>
    <mergeCell ref="C35:J35"/>
    <mergeCell ref="C36:J36"/>
    <mergeCell ref="C37:J37"/>
    <mergeCell ref="C38:J38"/>
    <mergeCell ref="C39:J39"/>
    <mergeCell ref="C45:J45"/>
    <mergeCell ref="C46:J46"/>
    <mergeCell ref="C47:J47"/>
    <mergeCell ref="C48:J48"/>
    <mergeCell ref="C40:J40"/>
    <mergeCell ref="C41:J41"/>
    <mergeCell ref="C42:J42"/>
    <mergeCell ref="C43:J43"/>
    <mergeCell ref="C44:J44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44"/>
  <sheetViews>
    <sheetView topLeftCell="A112" workbookViewId="0">
      <selection activeCell="B137" sqref="B137"/>
    </sheetView>
  </sheetViews>
  <sheetFormatPr defaultColWidth="9.109375" defaultRowHeight="13.2" x14ac:dyDescent="0.25"/>
  <cols>
    <col min="1" max="1" width="3.6640625" style="52" customWidth="1"/>
    <col min="2" max="2" width="44.5546875" style="53" customWidth="1"/>
    <col min="3" max="3" width="11" style="53" customWidth="1"/>
    <col min="4" max="4" width="10.5546875" style="53" customWidth="1"/>
    <col min="5" max="5" width="11.109375" style="53" customWidth="1"/>
    <col min="6" max="6" width="10.44140625" style="53" customWidth="1"/>
    <col min="7" max="7" width="10.88671875" style="53" customWidth="1"/>
    <col min="8" max="8" width="10" style="53" customWidth="1"/>
    <col min="9" max="9" width="9.88671875" style="53" customWidth="1"/>
    <col min="10" max="10" width="9" style="53" customWidth="1"/>
    <col min="11" max="11" width="9.44140625" style="53" customWidth="1"/>
    <col min="12" max="12" width="9.109375" style="53" customWidth="1"/>
    <col min="13" max="13" width="9.6640625" style="53" customWidth="1"/>
    <col min="14" max="14" width="8" style="53" customWidth="1"/>
    <col min="15" max="15" width="10.88671875" style="53" customWidth="1"/>
    <col min="16" max="16" width="10.6640625" style="53" customWidth="1"/>
    <col min="17" max="16384" width="9.109375" style="53"/>
  </cols>
  <sheetData>
    <row r="1" spans="1:16" x14ac:dyDescent="0.25">
      <c r="K1" t="s">
        <v>49</v>
      </c>
      <c r="O1"/>
    </row>
    <row r="2" spans="1:16" x14ac:dyDescent="0.25">
      <c r="K2" s="73" t="s">
        <v>489</v>
      </c>
      <c r="O2" s="73"/>
    </row>
    <row r="3" spans="1:16" x14ac:dyDescent="0.25">
      <c r="K3" s="73" t="s">
        <v>452</v>
      </c>
      <c r="O3" s="73"/>
    </row>
    <row r="5" spans="1:16" ht="15.75" customHeight="1" x14ac:dyDescent="0.25">
      <c r="A5" s="308" t="s">
        <v>526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</row>
    <row r="6" spans="1:16" ht="15.75" customHeight="1" x14ac:dyDescent="0.25">
      <c r="P6" s="53" t="s">
        <v>109</v>
      </c>
    </row>
    <row r="7" spans="1:16" ht="12.75" customHeight="1" x14ac:dyDescent="0.25">
      <c r="A7" s="311" t="s">
        <v>47</v>
      </c>
      <c r="B7" s="310" t="s">
        <v>138</v>
      </c>
      <c r="C7" s="309" t="s">
        <v>120</v>
      </c>
      <c r="D7" s="309"/>
      <c r="E7" s="309" t="s">
        <v>455</v>
      </c>
      <c r="F7" s="309"/>
      <c r="G7" s="309" t="s">
        <v>481</v>
      </c>
      <c r="H7" s="309"/>
      <c r="I7" s="309" t="s">
        <v>121</v>
      </c>
      <c r="J7" s="309"/>
      <c r="K7" s="310" t="s">
        <v>122</v>
      </c>
      <c r="L7" s="310"/>
      <c r="M7" s="309" t="s">
        <v>454</v>
      </c>
      <c r="N7" s="309"/>
      <c r="O7" s="310" t="s">
        <v>123</v>
      </c>
      <c r="P7" s="310"/>
    </row>
    <row r="8" spans="1:16" ht="40.799999999999997" customHeight="1" x14ac:dyDescent="0.25">
      <c r="A8" s="311"/>
      <c r="B8" s="310"/>
      <c r="C8" s="309"/>
      <c r="D8" s="309"/>
      <c r="E8" s="309"/>
      <c r="F8" s="309"/>
      <c r="G8" s="309"/>
      <c r="H8" s="309"/>
      <c r="I8" s="309"/>
      <c r="J8" s="309"/>
      <c r="K8" s="310"/>
      <c r="L8" s="310"/>
      <c r="M8" s="309"/>
      <c r="N8" s="309"/>
      <c r="O8" s="310"/>
      <c r="P8" s="310"/>
    </row>
    <row r="9" spans="1:16" ht="13.2" customHeight="1" x14ac:dyDescent="0.25">
      <c r="A9" s="311"/>
      <c r="B9" s="310"/>
      <c r="C9" s="307" t="s">
        <v>27</v>
      </c>
      <c r="D9" s="306" t="s">
        <v>57</v>
      </c>
      <c r="E9" s="307" t="s">
        <v>27</v>
      </c>
      <c r="F9" s="306" t="s">
        <v>57</v>
      </c>
      <c r="G9" s="307" t="s">
        <v>27</v>
      </c>
      <c r="H9" s="306" t="s">
        <v>57</v>
      </c>
      <c r="I9" s="307" t="s">
        <v>27</v>
      </c>
      <c r="J9" s="306" t="s">
        <v>57</v>
      </c>
      <c r="K9" s="307" t="s">
        <v>27</v>
      </c>
      <c r="L9" s="306" t="s">
        <v>57</v>
      </c>
      <c r="M9" s="307" t="s">
        <v>27</v>
      </c>
      <c r="N9" s="306" t="s">
        <v>57</v>
      </c>
      <c r="O9" s="307" t="s">
        <v>27</v>
      </c>
      <c r="P9" s="306" t="s">
        <v>57</v>
      </c>
    </row>
    <row r="10" spans="1:16" ht="42" customHeight="1" x14ac:dyDescent="0.25">
      <c r="A10" s="311"/>
      <c r="B10" s="310"/>
      <c r="C10" s="307"/>
      <c r="D10" s="306"/>
      <c r="E10" s="307"/>
      <c r="F10" s="306"/>
      <c r="G10" s="307"/>
      <c r="H10" s="306"/>
      <c r="I10" s="307"/>
      <c r="J10" s="306"/>
      <c r="K10" s="307"/>
      <c r="L10" s="306"/>
      <c r="M10" s="307"/>
      <c r="N10" s="306"/>
      <c r="O10" s="307"/>
      <c r="P10" s="306"/>
    </row>
    <row r="11" spans="1:16" s="59" customFormat="1" ht="9.75" customHeight="1" x14ac:dyDescent="0.2">
      <c r="A11" s="233" t="s">
        <v>124</v>
      </c>
      <c r="B11" s="234">
        <v>2</v>
      </c>
      <c r="C11" s="234">
        <v>3</v>
      </c>
      <c r="D11" s="234">
        <v>4</v>
      </c>
      <c r="E11" s="234">
        <v>5</v>
      </c>
      <c r="F11" s="234">
        <v>6</v>
      </c>
      <c r="G11" s="235">
        <v>7</v>
      </c>
      <c r="H11" s="235">
        <v>8</v>
      </c>
      <c r="I11" s="234">
        <v>9</v>
      </c>
      <c r="J11" s="234">
        <v>10</v>
      </c>
      <c r="K11" s="234">
        <v>11</v>
      </c>
      <c r="L11" s="234">
        <v>12</v>
      </c>
      <c r="M11" s="235">
        <v>13</v>
      </c>
      <c r="N11" s="235">
        <v>14</v>
      </c>
      <c r="O11" s="234">
        <v>15</v>
      </c>
      <c r="P11" s="234">
        <v>16</v>
      </c>
    </row>
    <row r="12" spans="1:16" ht="13.5" customHeight="1" x14ac:dyDescent="0.25">
      <c r="A12" s="236" t="s">
        <v>124</v>
      </c>
      <c r="B12" s="237" t="s">
        <v>203</v>
      </c>
      <c r="C12" s="238">
        <f>SUM(C13)</f>
        <v>94900</v>
      </c>
      <c r="D12" s="238">
        <f t="shared" ref="D12:P12" si="0">SUM(D13)</f>
        <v>91100</v>
      </c>
      <c r="E12" s="238">
        <f t="shared" si="0"/>
        <v>0</v>
      </c>
      <c r="F12" s="238">
        <f t="shared" si="0"/>
        <v>0</v>
      </c>
      <c r="G12" s="238">
        <f t="shared" si="0"/>
        <v>0</v>
      </c>
      <c r="H12" s="238">
        <f t="shared" si="0"/>
        <v>0</v>
      </c>
      <c r="I12" s="238">
        <f t="shared" si="0"/>
        <v>0</v>
      </c>
      <c r="J12" s="238">
        <f t="shared" si="0"/>
        <v>0</v>
      </c>
      <c r="K12" s="238">
        <f t="shared" si="0"/>
        <v>0</v>
      </c>
      <c r="L12" s="238">
        <f t="shared" si="0"/>
        <v>0</v>
      </c>
      <c r="M12" s="238">
        <f t="shared" si="0"/>
        <v>0</v>
      </c>
      <c r="N12" s="238">
        <f t="shared" si="0"/>
        <v>0</v>
      </c>
      <c r="O12" s="238">
        <f t="shared" si="0"/>
        <v>94900</v>
      </c>
      <c r="P12" s="238">
        <f t="shared" si="0"/>
        <v>91100</v>
      </c>
    </row>
    <row r="13" spans="1:16" ht="13.5" customHeight="1" x14ac:dyDescent="0.25">
      <c r="A13" s="239"/>
      <c r="B13" s="240" t="s">
        <v>284</v>
      </c>
      <c r="C13" s="109">
        <f>SUM('prog-6'!C342)</f>
        <v>94900</v>
      </c>
      <c r="D13" s="109">
        <f>SUM('prog-6'!D342)</f>
        <v>91100</v>
      </c>
      <c r="E13" s="109">
        <f>SUM('prog-6'!E342)</f>
        <v>0</v>
      </c>
      <c r="F13" s="109">
        <f>SUM('prog-6'!F342)</f>
        <v>0</v>
      </c>
      <c r="G13" s="109">
        <f>SUM('prog-6'!G342)</f>
        <v>0</v>
      </c>
      <c r="H13" s="109">
        <f>SUM('prog-6'!H342)</f>
        <v>0</v>
      </c>
      <c r="I13" s="109">
        <f>SUM('prog-6'!I342)</f>
        <v>0</v>
      </c>
      <c r="J13" s="109">
        <f>SUM('prog-6'!J342)</f>
        <v>0</v>
      </c>
      <c r="K13" s="109">
        <f>SUM('prog-6'!K342)</f>
        <v>0</v>
      </c>
      <c r="L13" s="109">
        <f>SUM('prog-6'!L342)</f>
        <v>0</v>
      </c>
      <c r="M13" s="109">
        <f>SUM('prog-6'!M342)</f>
        <v>0</v>
      </c>
      <c r="N13" s="109">
        <f>SUM('prog-6'!N342)</f>
        <v>0</v>
      </c>
      <c r="O13" s="109">
        <f>SUM('prog-6'!O342)</f>
        <v>94900</v>
      </c>
      <c r="P13" s="109">
        <f>SUM('prog-6'!P342)</f>
        <v>91100</v>
      </c>
    </row>
    <row r="14" spans="1:16" ht="13.5" customHeight="1" x14ac:dyDescent="0.25">
      <c r="A14" s="241" t="s">
        <v>94</v>
      </c>
      <c r="B14" s="242" t="s">
        <v>204</v>
      </c>
      <c r="C14" s="238">
        <f>SUM(C15:C21)</f>
        <v>11687900</v>
      </c>
      <c r="D14" s="238">
        <f t="shared" ref="D14:P14" si="1">SUM(D15:D21)</f>
        <v>4438048.2300000004</v>
      </c>
      <c r="E14" s="238">
        <f t="shared" si="1"/>
        <v>1993208.1</v>
      </c>
      <c r="F14" s="238">
        <f t="shared" si="1"/>
        <v>470749.77</v>
      </c>
      <c r="G14" s="238">
        <f t="shared" si="1"/>
        <v>602152.36</v>
      </c>
      <c r="H14" s="238">
        <f t="shared" si="1"/>
        <v>10173.07</v>
      </c>
      <c r="I14" s="238">
        <f t="shared" si="1"/>
        <v>77800</v>
      </c>
      <c r="J14" s="238">
        <f t="shared" si="1"/>
        <v>0</v>
      </c>
      <c r="K14" s="238">
        <f t="shared" si="1"/>
        <v>3794615.83</v>
      </c>
      <c r="L14" s="238">
        <f t="shared" si="1"/>
        <v>0</v>
      </c>
      <c r="M14" s="238">
        <f t="shared" si="1"/>
        <v>3590384.44</v>
      </c>
      <c r="N14" s="238">
        <f t="shared" si="1"/>
        <v>2621.27</v>
      </c>
      <c r="O14" s="238">
        <f t="shared" si="1"/>
        <v>21746060.73</v>
      </c>
      <c r="P14" s="238">
        <f t="shared" si="1"/>
        <v>4921592.34</v>
      </c>
    </row>
    <row r="15" spans="1:16" ht="13.5" customHeight="1" x14ac:dyDescent="0.25">
      <c r="A15" s="243"/>
      <c r="B15" s="244" t="s">
        <v>131</v>
      </c>
      <c r="C15" s="109">
        <f>SUM('prog-6'!C14)</f>
        <v>633800</v>
      </c>
      <c r="D15" s="109">
        <f>SUM('prog-6'!D14)</f>
        <v>0</v>
      </c>
      <c r="E15" s="109">
        <f>SUM('prog-6'!E14)</f>
        <v>253000</v>
      </c>
      <c r="F15" s="109">
        <f>SUM('prog-6'!F14)</f>
        <v>0</v>
      </c>
      <c r="G15" s="109">
        <f>SUM('prog-6'!G14)</f>
        <v>1629.11</v>
      </c>
      <c r="H15" s="109">
        <f>SUM('prog-6'!H14)</f>
        <v>0</v>
      </c>
      <c r="I15" s="109">
        <f>SUM('prog-6'!I14)</f>
        <v>0</v>
      </c>
      <c r="J15" s="109">
        <f>SUM('prog-6'!J14)</f>
        <v>0</v>
      </c>
      <c r="K15" s="109">
        <f>SUM('prog-6'!K14)</f>
        <v>25000</v>
      </c>
      <c r="L15" s="109">
        <f>SUM('prog-6'!L14)</f>
        <v>0</v>
      </c>
      <c r="M15" s="109">
        <f>SUM('prog-6'!M14)</f>
        <v>11993.11</v>
      </c>
      <c r="N15" s="109">
        <f>SUM('prog-6'!N14)</f>
        <v>0</v>
      </c>
      <c r="O15" s="109">
        <f>SUM('prog-6'!O14)</f>
        <v>925422.22</v>
      </c>
      <c r="P15" s="109">
        <f>SUM('prog-6'!P14)</f>
        <v>0</v>
      </c>
    </row>
    <row r="16" spans="1:16" ht="13.5" customHeight="1" x14ac:dyDescent="0.25">
      <c r="A16" s="243"/>
      <c r="B16" s="244" t="s">
        <v>142</v>
      </c>
      <c r="C16" s="109">
        <f>SUM('prog-6'!C36)</f>
        <v>3124500</v>
      </c>
      <c r="D16" s="109">
        <f>SUM('prog-6'!D36)</f>
        <v>898548.23</v>
      </c>
      <c r="E16" s="109">
        <f>SUM('prog-6'!E36)</f>
        <v>58000</v>
      </c>
      <c r="F16" s="109">
        <f>SUM('prog-6'!F36)</f>
        <v>0</v>
      </c>
      <c r="G16" s="109">
        <f>SUM('prog-6'!G36)</f>
        <v>283646.75</v>
      </c>
      <c r="H16" s="109">
        <f>SUM('prog-6'!H36)</f>
        <v>2173.0700000000002</v>
      </c>
      <c r="I16" s="109">
        <f>SUM('prog-6'!I36)</f>
        <v>27000</v>
      </c>
      <c r="J16" s="109">
        <f>SUM('prog-6'!J36)</f>
        <v>0</v>
      </c>
      <c r="K16" s="109">
        <f>SUM('prog-6'!K36)</f>
        <v>3769615.83</v>
      </c>
      <c r="L16" s="109">
        <f>SUM('prog-6'!L36)</f>
        <v>0</v>
      </c>
      <c r="M16" s="109">
        <f>SUM('prog-6'!M36)</f>
        <v>258527.9</v>
      </c>
      <c r="N16" s="109">
        <f>SUM('prog-6'!N36)</f>
        <v>150.30000000000001</v>
      </c>
      <c r="O16" s="109">
        <f>SUM('prog-6'!O36)</f>
        <v>7521290.4800000004</v>
      </c>
      <c r="P16" s="109">
        <f>SUM('prog-6'!P36)</f>
        <v>900871.6</v>
      </c>
    </row>
    <row r="17" spans="1:17" ht="13.5" customHeight="1" x14ac:dyDescent="0.25">
      <c r="A17" s="243"/>
      <c r="B17" s="244" t="s">
        <v>162</v>
      </c>
      <c r="C17" s="109">
        <f>SUM('prog-6'!C153)</f>
        <v>572300</v>
      </c>
      <c r="D17" s="109">
        <f>SUM('prog-6'!D153)</f>
        <v>0</v>
      </c>
      <c r="E17" s="109">
        <f>SUM('prog-6'!E153)</f>
        <v>0</v>
      </c>
      <c r="F17" s="109">
        <f>SUM('prog-6'!F153)</f>
        <v>0</v>
      </c>
      <c r="G17" s="109">
        <f>SUM('prog-6'!G153)</f>
        <v>0</v>
      </c>
      <c r="H17" s="109">
        <f>SUM('prog-6'!H153)</f>
        <v>0</v>
      </c>
      <c r="I17" s="109">
        <f>SUM('prog-6'!I153)</f>
        <v>0</v>
      </c>
      <c r="J17" s="109">
        <f>SUM('prog-6'!J153)</f>
        <v>0</v>
      </c>
      <c r="K17" s="109">
        <f>SUM('prog-6'!K153)</f>
        <v>0</v>
      </c>
      <c r="L17" s="109">
        <f>SUM('prog-6'!L153)</f>
        <v>0</v>
      </c>
      <c r="M17" s="109">
        <f>SUM('prog-6'!M153)</f>
        <v>0</v>
      </c>
      <c r="N17" s="109">
        <f>SUM('prog-6'!N153)</f>
        <v>0</v>
      </c>
      <c r="O17" s="109">
        <f>SUM('prog-6'!O153)</f>
        <v>572300</v>
      </c>
      <c r="P17" s="109">
        <f>SUM('prog-6'!P153)</f>
        <v>0</v>
      </c>
    </row>
    <row r="18" spans="1:17" ht="13.5" customHeight="1" x14ac:dyDescent="0.25">
      <c r="A18" s="243"/>
      <c r="B18" s="244" t="s">
        <v>296</v>
      </c>
      <c r="C18" s="109">
        <f>SUM('prog-6'!C196)</f>
        <v>2087827</v>
      </c>
      <c r="D18" s="109">
        <f>SUM('prog-6'!D196)</f>
        <v>0</v>
      </c>
      <c r="E18" s="109">
        <f>SUM('prog-6'!E196)</f>
        <v>817203.1</v>
      </c>
      <c r="F18" s="109">
        <f>SUM('prog-6'!F196)</f>
        <v>15954</v>
      </c>
      <c r="G18" s="109">
        <f>SUM('prog-6'!G196)</f>
        <v>250491.88</v>
      </c>
      <c r="H18" s="109">
        <f>SUM('prog-6'!H196)</f>
        <v>8000</v>
      </c>
      <c r="I18" s="109">
        <f>SUM('prog-6'!I196)</f>
        <v>0</v>
      </c>
      <c r="J18" s="109">
        <f>SUM('prog-6'!J196)</f>
        <v>0</v>
      </c>
      <c r="K18" s="109">
        <f>SUM('prog-6'!K196)</f>
        <v>0</v>
      </c>
      <c r="L18" s="109">
        <f>SUM('prog-6'!L196)</f>
        <v>0</v>
      </c>
      <c r="M18" s="109">
        <f>SUM('prog-6'!M196)</f>
        <v>2419318.7399999998</v>
      </c>
      <c r="N18" s="109">
        <f>SUM('prog-6'!N196)</f>
        <v>2470.9699999999998</v>
      </c>
      <c r="O18" s="109">
        <f>SUM('prog-6'!O196)</f>
        <v>5574840.7200000016</v>
      </c>
      <c r="P18" s="109">
        <f>SUM('prog-6'!P196)</f>
        <v>26424.97</v>
      </c>
    </row>
    <row r="19" spans="1:17" ht="13.5" customHeight="1" x14ac:dyDescent="0.25">
      <c r="A19" s="243"/>
      <c r="B19" s="244" t="s">
        <v>297</v>
      </c>
      <c r="C19" s="109">
        <f>SUM('prog-6'!C261)</f>
        <v>112800</v>
      </c>
      <c r="D19" s="109">
        <f>SUM('prog-6'!D261)</f>
        <v>0</v>
      </c>
      <c r="E19" s="109">
        <f>SUM('prog-6'!E261)</f>
        <v>0</v>
      </c>
      <c r="F19" s="109">
        <f>SUM('prog-6'!F261)</f>
        <v>0</v>
      </c>
      <c r="G19" s="109">
        <f>SUM('prog-6'!G261)</f>
        <v>0</v>
      </c>
      <c r="H19" s="109">
        <f>SUM('prog-6'!H261)</f>
        <v>0</v>
      </c>
      <c r="I19" s="109">
        <f>SUM('prog-6'!I261)</f>
        <v>3000</v>
      </c>
      <c r="J19" s="109">
        <f>SUM('prog-6'!J261)</f>
        <v>0</v>
      </c>
      <c r="K19" s="109">
        <f>SUM('prog-6'!K261)</f>
        <v>0</v>
      </c>
      <c r="L19" s="109">
        <f>SUM('prog-6'!L261)</f>
        <v>0</v>
      </c>
      <c r="M19" s="109">
        <f>SUM('prog-6'!M261)</f>
        <v>13936</v>
      </c>
      <c r="N19" s="109">
        <f>SUM('prog-6'!N261)</f>
        <v>0</v>
      </c>
      <c r="O19" s="109">
        <f>SUM('prog-6'!O261)</f>
        <v>129736</v>
      </c>
      <c r="P19" s="109">
        <f>SUM('prog-6'!P261)</f>
        <v>0</v>
      </c>
    </row>
    <row r="20" spans="1:17" ht="13.5" customHeight="1" x14ac:dyDescent="0.25">
      <c r="A20" s="243"/>
      <c r="B20" s="244" t="s">
        <v>298</v>
      </c>
      <c r="C20" s="109">
        <f>SUM('prog-6'!C271)</f>
        <v>611273</v>
      </c>
      <c r="D20" s="109">
        <f>SUM('prog-6'!D271)</f>
        <v>0</v>
      </c>
      <c r="E20" s="109">
        <f>SUM('prog-6'!E271)</f>
        <v>360000</v>
      </c>
      <c r="F20" s="109">
        <f>SUM('prog-6'!F271)</f>
        <v>3601.77</v>
      </c>
      <c r="G20" s="109">
        <f>SUM('prog-6'!G271)</f>
        <v>66384.62</v>
      </c>
      <c r="H20" s="109">
        <f>SUM('prog-6'!H271)</f>
        <v>0</v>
      </c>
      <c r="I20" s="109">
        <f>SUM('prog-6'!I271)</f>
        <v>2200</v>
      </c>
      <c r="J20" s="109">
        <f>SUM('prog-6'!J271)</f>
        <v>0</v>
      </c>
      <c r="K20" s="109">
        <f>SUM('prog-6'!K271)</f>
        <v>0</v>
      </c>
      <c r="L20" s="109">
        <f>SUM('prog-6'!L271)</f>
        <v>0</v>
      </c>
      <c r="M20" s="109">
        <f>SUM('prog-6'!M271)</f>
        <v>0</v>
      </c>
      <c r="N20" s="109">
        <f>SUM('prog-6'!N271)</f>
        <v>0</v>
      </c>
      <c r="O20" s="109">
        <f>SUM('prog-6'!O271)</f>
        <v>1039857.62</v>
      </c>
      <c r="P20" s="109">
        <f>SUM('prog-6'!P271)</f>
        <v>3601.77</v>
      </c>
    </row>
    <row r="21" spans="1:17" ht="13.5" customHeight="1" x14ac:dyDescent="0.25">
      <c r="A21" s="243"/>
      <c r="B21" s="244" t="s">
        <v>299</v>
      </c>
      <c r="C21" s="109">
        <f>SUM('prog-6'!C343)</f>
        <v>4545400</v>
      </c>
      <c r="D21" s="109">
        <f>SUM('prog-6'!D343)</f>
        <v>3539500</v>
      </c>
      <c r="E21" s="109">
        <f>SUM('prog-6'!E343)</f>
        <v>505005</v>
      </c>
      <c r="F21" s="109">
        <f>SUM('prog-6'!F343)</f>
        <v>451194</v>
      </c>
      <c r="G21" s="109">
        <f>SUM('prog-6'!G343)</f>
        <v>0</v>
      </c>
      <c r="H21" s="109">
        <f>SUM('prog-6'!H343)</f>
        <v>0</v>
      </c>
      <c r="I21" s="109">
        <f>SUM('prog-6'!I343)</f>
        <v>45600</v>
      </c>
      <c r="J21" s="109">
        <f>SUM('prog-6'!J343)</f>
        <v>0</v>
      </c>
      <c r="K21" s="109">
        <f>SUM('prog-6'!K343)</f>
        <v>0</v>
      </c>
      <c r="L21" s="109">
        <f>SUM('prog-6'!L343)</f>
        <v>0</v>
      </c>
      <c r="M21" s="109">
        <f>SUM('prog-6'!M343)</f>
        <v>886608.69</v>
      </c>
      <c r="N21" s="109">
        <f>SUM('prog-6'!N343)</f>
        <v>0</v>
      </c>
      <c r="O21" s="109">
        <f>SUM('prog-6'!O343)</f>
        <v>5982613.6900000004</v>
      </c>
      <c r="P21" s="109">
        <f>SUM('prog-6'!P343)</f>
        <v>3990694</v>
      </c>
    </row>
    <row r="22" spans="1:17" ht="24" customHeight="1" x14ac:dyDescent="0.25">
      <c r="A22" s="236" t="s">
        <v>95</v>
      </c>
      <c r="B22" s="242" t="s">
        <v>205</v>
      </c>
      <c r="C22" s="238">
        <f>SUM(C23:C25)</f>
        <v>404400</v>
      </c>
      <c r="D22" s="238">
        <f t="shared" ref="D22:P22" si="2">SUM(D23:D25)</f>
        <v>0</v>
      </c>
      <c r="E22" s="238">
        <f t="shared" si="2"/>
        <v>0</v>
      </c>
      <c r="F22" s="238">
        <f t="shared" si="2"/>
        <v>0</v>
      </c>
      <c r="G22" s="238">
        <f t="shared" si="2"/>
        <v>0</v>
      </c>
      <c r="H22" s="238">
        <f t="shared" si="2"/>
        <v>0</v>
      </c>
      <c r="I22" s="238">
        <f t="shared" si="2"/>
        <v>6000</v>
      </c>
      <c r="J22" s="238">
        <f t="shared" si="2"/>
        <v>0</v>
      </c>
      <c r="K22" s="238">
        <f t="shared" si="2"/>
        <v>0</v>
      </c>
      <c r="L22" s="238">
        <f t="shared" si="2"/>
        <v>0</v>
      </c>
      <c r="M22" s="238">
        <f t="shared" si="2"/>
        <v>20250</v>
      </c>
      <c r="N22" s="238">
        <f t="shared" si="2"/>
        <v>0</v>
      </c>
      <c r="O22" s="238">
        <f t="shared" si="2"/>
        <v>430650</v>
      </c>
      <c r="P22" s="238">
        <f t="shared" si="2"/>
        <v>0</v>
      </c>
      <c r="Q22" s="82">
        <f>SUM(F22,F26,F30,F34,F38,F42,F46,F50,F54,F58,F62)</f>
        <v>0</v>
      </c>
    </row>
    <row r="23" spans="1:17" ht="13.5" customHeight="1" x14ac:dyDescent="0.25">
      <c r="A23" s="239"/>
      <c r="B23" s="244" t="s">
        <v>142</v>
      </c>
      <c r="C23" s="109">
        <f>SUM('prog-6'!C69)</f>
        <v>377400</v>
      </c>
      <c r="D23" s="109">
        <f>SUM('prog-6'!D69)</f>
        <v>0</v>
      </c>
      <c r="E23" s="109">
        <f>SUM('prog-6'!E69)</f>
        <v>0</v>
      </c>
      <c r="F23" s="109">
        <f>SUM('prog-6'!F69)</f>
        <v>0</v>
      </c>
      <c r="G23" s="109">
        <f>SUM('prog-6'!G69)</f>
        <v>0</v>
      </c>
      <c r="H23" s="109">
        <f>SUM('prog-6'!H69)</f>
        <v>0</v>
      </c>
      <c r="I23" s="109">
        <f>SUM('prog-6'!I69)</f>
        <v>6000</v>
      </c>
      <c r="J23" s="109">
        <f>SUM('prog-6'!J69)</f>
        <v>0</v>
      </c>
      <c r="K23" s="109">
        <f>SUM('prog-6'!K69)</f>
        <v>0</v>
      </c>
      <c r="L23" s="109">
        <f>SUM('prog-6'!L69)</f>
        <v>0</v>
      </c>
      <c r="M23" s="109">
        <f>SUM('prog-6'!M69)</f>
        <v>20250</v>
      </c>
      <c r="N23" s="109">
        <f>SUM('prog-6'!N69)</f>
        <v>0</v>
      </c>
      <c r="O23" s="109">
        <f>SUM('prog-6'!O69)</f>
        <v>403650</v>
      </c>
      <c r="P23" s="109">
        <f>SUM('prog-6'!P69)</f>
        <v>0</v>
      </c>
    </row>
    <row r="24" spans="1:17" ht="13.5" customHeight="1" x14ac:dyDescent="0.25">
      <c r="A24" s="239"/>
      <c r="B24" s="244" t="s">
        <v>162</v>
      </c>
      <c r="C24" s="109">
        <f>SUM('prog-6'!C183)</f>
        <v>2000</v>
      </c>
      <c r="D24" s="109">
        <f>SUM('prog-6'!D183)</f>
        <v>0</v>
      </c>
      <c r="E24" s="109">
        <f>SUM('prog-6'!E183)</f>
        <v>0</v>
      </c>
      <c r="F24" s="109">
        <f>SUM('prog-6'!F183)</f>
        <v>0</v>
      </c>
      <c r="G24" s="109">
        <f>SUM('prog-6'!G183)</f>
        <v>0</v>
      </c>
      <c r="H24" s="109">
        <f>SUM('prog-6'!H183)</f>
        <v>0</v>
      </c>
      <c r="I24" s="109">
        <f>SUM('prog-6'!I183)</f>
        <v>0</v>
      </c>
      <c r="J24" s="109">
        <f>SUM('prog-6'!J183)</f>
        <v>0</v>
      </c>
      <c r="K24" s="109">
        <f>SUM('prog-6'!K183)</f>
        <v>0</v>
      </c>
      <c r="L24" s="109">
        <f>SUM('prog-6'!L183)</f>
        <v>0</v>
      </c>
      <c r="M24" s="109">
        <f>SUM('prog-6'!M183)</f>
        <v>0</v>
      </c>
      <c r="N24" s="109">
        <f>SUM('prog-6'!N183)</f>
        <v>0</v>
      </c>
      <c r="O24" s="109">
        <f>SUM('prog-6'!O183)</f>
        <v>2000</v>
      </c>
      <c r="P24" s="109">
        <f>SUM('prog-6'!P183)</f>
        <v>0</v>
      </c>
    </row>
    <row r="25" spans="1:17" ht="13.5" customHeight="1" x14ac:dyDescent="0.25">
      <c r="A25" s="239"/>
      <c r="B25" s="244" t="s">
        <v>299</v>
      </c>
      <c r="C25" s="109">
        <f>SUM('prog-6'!C376)</f>
        <v>25000</v>
      </c>
      <c r="D25" s="109">
        <f>SUM('prog-6'!D376)</f>
        <v>0</v>
      </c>
      <c r="E25" s="109">
        <f>SUM('prog-6'!E376)</f>
        <v>0</v>
      </c>
      <c r="F25" s="109">
        <f>SUM('prog-6'!F376)</f>
        <v>0</v>
      </c>
      <c r="G25" s="109">
        <f>SUM('prog-6'!G376)</f>
        <v>0</v>
      </c>
      <c r="H25" s="109">
        <f>SUM('prog-6'!H376)</f>
        <v>0</v>
      </c>
      <c r="I25" s="109">
        <f>SUM('prog-6'!I376)</f>
        <v>0</v>
      </c>
      <c r="J25" s="109">
        <f>SUM('prog-6'!J376)</f>
        <v>0</v>
      </c>
      <c r="K25" s="109">
        <f>SUM('prog-6'!K376)</f>
        <v>0</v>
      </c>
      <c r="L25" s="109">
        <f>SUM('prog-6'!L376)</f>
        <v>0</v>
      </c>
      <c r="M25" s="109">
        <f>SUM('prog-6'!M376)</f>
        <v>0</v>
      </c>
      <c r="N25" s="109">
        <f>SUM('prog-6'!N376)</f>
        <v>0</v>
      </c>
      <c r="O25" s="109">
        <f>SUM('prog-6'!O376)</f>
        <v>25000</v>
      </c>
      <c r="P25" s="109">
        <f>SUM('prog-6'!P376)</f>
        <v>0</v>
      </c>
    </row>
    <row r="26" spans="1:17" ht="25.5" customHeight="1" x14ac:dyDescent="0.25">
      <c r="A26" s="241" t="s">
        <v>206</v>
      </c>
      <c r="B26" s="242" t="s">
        <v>207</v>
      </c>
      <c r="C26" s="238">
        <f>SUM(C27:C29)</f>
        <v>69000</v>
      </c>
      <c r="D26" s="238">
        <f t="shared" ref="D26:P26" si="3">SUM(D27:D29)</f>
        <v>0</v>
      </c>
      <c r="E26" s="238">
        <f t="shared" si="3"/>
        <v>0</v>
      </c>
      <c r="F26" s="238">
        <f t="shared" si="3"/>
        <v>0</v>
      </c>
      <c r="G26" s="238">
        <f t="shared" si="3"/>
        <v>0</v>
      </c>
      <c r="H26" s="238">
        <f t="shared" si="3"/>
        <v>0</v>
      </c>
      <c r="I26" s="238">
        <f t="shared" si="3"/>
        <v>200</v>
      </c>
      <c r="J26" s="238">
        <f t="shared" si="3"/>
        <v>0</v>
      </c>
      <c r="K26" s="238">
        <f t="shared" si="3"/>
        <v>0</v>
      </c>
      <c r="L26" s="238">
        <f t="shared" si="3"/>
        <v>0</v>
      </c>
      <c r="M26" s="238">
        <f t="shared" si="3"/>
        <v>18.170000000000002</v>
      </c>
      <c r="N26" s="238">
        <f t="shared" si="3"/>
        <v>0</v>
      </c>
      <c r="O26" s="238">
        <f t="shared" si="3"/>
        <v>69218.17</v>
      </c>
      <c r="P26" s="238">
        <f t="shared" si="3"/>
        <v>0</v>
      </c>
    </row>
    <row r="27" spans="1:17" ht="12.75" customHeight="1" x14ac:dyDescent="0.25">
      <c r="A27" s="243"/>
      <c r="B27" s="244" t="s">
        <v>142</v>
      </c>
      <c r="C27" s="109">
        <f>SUM('prog-6'!C76)</f>
        <v>54200</v>
      </c>
      <c r="D27" s="109">
        <f>SUM('prog-6'!D76)</f>
        <v>0</v>
      </c>
      <c r="E27" s="109">
        <f>SUM('prog-6'!E76)</f>
        <v>0</v>
      </c>
      <c r="F27" s="109">
        <f>SUM('prog-6'!F76)</f>
        <v>0</v>
      </c>
      <c r="G27" s="109">
        <f>SUM('prog-6'!G76)</f>
        <v>0</v>
      </c>
      <c r="H27" s="109">
        <f>SUM('prog-6'!H76)</f>
        <v>0</v>
      </c>
      <c r="I27" s="109">
        <f>SUM('prog-6'!I76)</f>
        <v>200</v>
      </c>
      <c r="J27" s="109">
        <f>SUM('prog-6'!J76)</f>
        <v>0</v>
      </c>
      <c r="K27" s="109">
        <f>SUM('prog-6'!K76)</f>
        <v>0</v>
      </c>
      <c r="L27" s="109">
        <f>SUM('prog-6'!L76)</f>
        <v>0</v>
      </c>
      <c r="M27" s="109">
        <f>SUM('prog-6'!M76)</f>
        <v>18.170000000000002</v>
      </c>
      <c r="N27" s="109">
        <f>SUM('prog-6'!N76)</f>
        <v>0</v>
      </c>
      <c r="O27" s="109">
        <f>SUM('prog-6'!O76)</f>
        <v>54418.17</v>
      </c>
      <c r="P27" s="109">
        <f>SUM('prog-6'!P76)</f>
        <v>0</v>
      </c>
    </row>
    <row r="28" spans="1:17" ht="12.75" customHeight="1" x14ac:dyDescent="0.25">
      <c r="A28" s="243"/>
      <c r="B28" s="244" t="s">
        <v>162</v>
      </c>
      <c r="C28" s="109">
        <f>SUM('prog-6'!C184)</f>
        <v>900</v>
      </c>
      <c r="D28" s="109">
        <f>SUM('prog-6'!D184)</f>
        <v>0</v>
      </c>
      <c r="E28" s="109">
        <f>SUM('prog-6'!E184)</f>
        <v>0</v>
      </c>
      <c r="F28" s="109">
        <f>SUM('prog-6'!F184)</f>
        <v>0</v>
      </c>
      <c r="G28" s="109">
        <f>SUM('prog-6'!G184)</f>
        <v>0</v>
      </c>
      <c r="H28" s="109">
        <f>SUM('prog-6'!H184)</f>
        <v>0</v>
      </c>
      <c r="I28" s="109">
        <f>SUM('prog-6'!I184)</f>
        <v>0</v>
      </c>
      <c r="J28" s="109">
        <f>SUM('prog-6'!J184)</f>
        <v>0</v>
      </c>
      <c r="K28" s="109">
        <f>SUM('prog-6'!K184)</f>
        <v>0</v>
      </c>
      <c r="L28" s="109">
        <f>SUM('prog-6'!L184)</f>
        <v>0</v>
      </c>
      <c r="M28" s="109">
        <f>SUM('prog-6'!M184)</f>
        <v>0</v>
      </c>
      <c r="N28" s="109">
        <f>SUM('prog-6'!N184)</f>
        <v>0</v>
      </c>
      <c r="O28" s="109">
        <f>SUM('prog-6'!O184)</f>
        <v>900</v>
      </c>
      <c r="P28" s="109">
        <f>SUM('prog-6'!P184)</f>
        <v>0</v>
      </c>
    </row>
    <row r="29" spans="1:17" ht="12.75" customHeight="1" x14ac:dyDescent="0.25">
      <c r="A29" s="243"/>
      <c r="B29" s="244" t="s">
        <v>299</v>
      </c>
      <c r="C29" s="109">
        <f>SUM('prog-6'!C378)</f>
        <v>13900</v>
      </c>
      <c r="D29" s="109">
        <f>SUM('prog-6'!D378)</f>
        <v>0</v>
      </c>
      <c r="E29" s="109">
        <f>SUM('prog-6'!E378)</f>
        <v>0</v>
      </c>
      <c r="F29" s="109">
        <f>SUM('prog-6'!F378)</f>
        <v>0</v>
      </c>
      <c r="G29" s="109">
        <f>SUM('prog-6'!G378)</f>
        <v>0</v>
      </c>
      <c r="H29" s="109">
        <f>SUM('prog-6'!H378)</f>
        <v>0</v>
      </c>
      <c r="I29" s="109">
        <f>SUM('prog-6'!I378)</f>
        <v>0</v>
      </c>
      <c r="J29" s="109">
        <f>SUM('prog-6'!J378)</f>
        <v>0</v>
      </c>
      <c r="K29" s="109">
        <f>SUM('prog-6'!K378)</f>
        <v>0</v>
      </c>
      <c r="L29" s="109">
        <f>SUM('prog-6'!L378)</f>
        <v>0</v>
      </c>
      <c r="M29" s="109">
        <f>SUM('prog-6'!M378)</f>
        <v>0</v>
      </c>
      <c r="N29" s="109">
        <f>SUM('prog-6'!N378)</f>
        <v>0</v>
      </c>
      <c r="O29" s="109">
        <f>SUM('prog-6'!O378)</f>
        <v>13900</v>
      </c>
      <c r="P29" s="109">
        <f>SUM('prog-6'!P378)</f>
        <v>0</v>
      </c>
    </row>
    <row r="30" spans="1:17" ht="24.75" customHeight="1" x14ac:dyDescent="0.25">
      <c r="A30" s="236" t="s">
        <v>96</v>
      </c>
      <c r="B30" s="242" t="s">
        <v>208</v>
      </c>
      <c r="C30" s="238">
        <f>SUM(C31:C33)</f>
        <v>100000</v>
      </c>
      <c r="D30" s="238">
        <f t="shared" ref="D30:P30" si="4">SUM(D31:D33)</f>
        <v>0</v>
      </c>
      <c r="E30" s="238">
        <f t="shared" si="4"/>
        <v>0</v>
      </c>
      <c r="F30" s="238">
        <f t="shared" si="4"/>
        <v>0</v>
      </c>
      <c r="G30" s="238">
        <f t="shared" si="4"/>
        <v>0</v>
      </c>
      <c r="H30" s="238">
        <f t="shared" si="4"/>
        <v>0</v>
      </c>
      <c r="I30" s="238">
        <f t="shared" si="4"/>
        <v>8000</v>
      </c>
      <c r="J30" s="238">
        <f t="shared" si="4"/>
        <v>0</v>
      </c>
      <c r="K30" s="238">
        <f t="shared" si="4"/>
        <v>0</v>
      </c>
      <c r="L30" s="238">
        <f t="shared" si="4"/>
        <v>0</v>
      </c>
      <c r="M30" s="238">
        <f t="shared" si="4"/>
        <v>985.28</v>
      </c>
      <c r="N30" s="238">
        <f t="shared" si="4"/>
        <v>0</v>
      </c>
      <c r="O30" s="238">
        <f t="shared" si="4"/>
        <v>108985.28</v>
      </c>
      <c r="P30" s="238">
        <f t="shared" si="4"/>
        <v>0</v>
      </c>
    </row>
    <row r="31" spans="1:17" ht="12" customHeight="1" x14ac:dyDescent="0.25">
      <c r="A31" s="239"/>
      <c r="B31" s="244" t="s">
        <v>142</v>
      </c>
      <c r="C31" s="109">
        <f>SUM('prog-6'!C83)</f>
        <v>79000</v>
      </c>
      <c r="D31" s="109">
        <f>SUM('prog-6'!D83)</f>
        <v>0</v>
      </c>
      <c r="E31" s="109">
        <f>SUM('prog-6'!E83)</f>
        <v>0</v>
      </c>
      <c r="F31" s="109">
        <f>SUM('prog-6'!F83)</f>
        <v>0</v>
      </c>
      <c r="G31" s="109">
        <f>SUM('prog-6'!G83)</f>
        <v>0</v>
      </c>
      <c r="H31" s="109">
        <f>SUM('prog-6'!H83)</f>
        <v>0</v>
      </c>
      <c r="I31" s="109">
        <f>SUM('prog-6'!I83)</f>
        <v>8000</v>
      </c>
      <c r="J31" s="109">
        <f>SUM('prog-6'!J83)</f>
        <v>0</v>
      </c>
      <c r="K31" s="109">
        <f>SUM('prog-6'!K83)</f>
        <v>0</v>
      </c>
      <c r="L31" s="109">
        <f>SUM('prog-6'!L83)</f>
        <v>0</v>
      </c>
      <c r="M31" s="109">
        <f>SUM('prog-6'!M83)</f>
        <v>985.28</v>
      </c>
      <c r="N31" s="109">
        <f>SUM('prog-6'!N83)</f>
        <v>0</v>
      </c>
      <c r="O31" s="109">
        <f>SUM('prog-6'!O83)</f>
        <v>87985.279999999999</v>
      </c>
      <c r="P31" s="109">
        <f>SUM('prog-6'!P83)</f>
        <v>0</v>
      </c>
    </row>
    <row r="32" spans="1:17" ht="12" customHeight="1" x14ac:dyDescent="0.25">
      <c r="A32" s="239"/>
      <c r="B32" s="244" t="s">
        <v>162</v>
      </c>
      <c r="C32" s="109">
        <f>SUM('prog-6'!C185)</f>
        <v>8000</v>
      </c>
      <c r="D32" s="109">
        <f>SUM('prog-6'!D185)</f>
        <v>0</v>
      </c>
      <c r="E32" s="109">
        <f>SUM('prog-6'!E185)</f>
        <v>0</v>
      </c>
      <c r="F32" s="109">
        <f>SUM('prog-6'!F185)</f>
        <v>0</v>
      </c>
      <c r="G32" s="109">
        <f>SUM('prog-6'!G185)</f>
        <v>0</v>
      </c>
      <c r="H32" s="109">
        <f>SUM('prog-6'!H185)</f>
        <v>0</v>
      </c>
      <c r="I32" s="109">
        <f>SUM('prog-6'!I185)</f>
        <v>0</v>
      </c>
      <c r="J32" s="109">
        <f>SUM('prog-6'!J185)</f>
        <v>0</v>
      </c>
      <c r="K32" s="109">
        <f>SUM('prog-6'!K185)</f>
        <v>0</v>
      </c>
      <c r="L32" s="109">
        <f>SUM('prog-6'!L185)</f>
        <v>0</v>
      </c>
      <c r="M32" s="109">
        <f>SUM('prog-6'!M185)</f>
        <v>0</v>
      </c>
      <c r="N32" s="109">
        <f>SUM('prog-6'!N185)</f>
        <v>0</v>
      </c>
      <c r="O32" s="109">
        <f>SUM('prog-6'!O185)</f>
        <v>8000</v>
      </c>
      <c r="P32" s="109">
        <f>SUM('prog-6'!P185)</f>
        <v>0</v>
      </c>
    </row>
    <row r="33" spans="1:16" ht="12" customHeight="1" x14ac:dyDescent="0.25">
      <c r="A33" s="239"/>
      <c r="B33" s="244" t="s">
        <v>299</v>
      </c>
      <c r="C33" s="109">
        <f>SUM('prog-6'!C381)</f>
        <v>13000</v>
      </c>
      <c r="D33" s="109">
        <f>SUM('prog-6'!D381)</f>
        <v>0</v>
      </c>
      <c r="E33" s="109">
        <f>SUM('prog-6'!E381)</f>
        <v>0</v>
      </c>
      <c r="F33" s="109">
        <f>SUM('prog-6'!F381)</f>
        <v>0</v>
      </c>
      <c r="G33" s="109">
        <f>SUM('prog-6'!G381)</f>
        <v>0</v>
      </c>
      <c r="H33" s="109">
        <f>SUM('prog-6'!H381)</f>
        <v>0</v>
      </c>
      <c r="I33" s="109">
        <f>SUM('prog-6'!I381)</f>
        <v>0</v>
      </c>
      <c r="J33" s="109">
        <f>SUM('prog-6'!J381)</f>
        <v>0</v>
      </c>
      <c r="K33" s="109">
        <f>SUM('prog-6'!K381)</f>
        <v>0</v>
      </c>
      <c r="L33" s="109">
        <f>SUM('prog-6'!L381)</f>
        <v>0</v>
      </c>
      <c r="M33" s="109">
        <f>SUM('prog-6'!M381)</f>
        <v>0</v>
      </c>
      <c r="N33" s="109">
        <f>SUM('prog-6'!N381)</f>
        <v>0</v>
      </c>
      <c r="O33" s="109">
        <f>SUM('prog-6'!O381)</f>
        <v>13000</v>
      </c>
      <c r="P33" s="109">
        <f>SUM('prog-6'!P381)</f>
        <v>0</v>
      </c>
    </row>
    <row r="34" spans="1:16" ht="27" customHeight="1" x14ac:dyDescent="0.25">
      <c r="A34" s="241" t="s">
        <v>97</v>
      </c>
      <c r="B34" s="242" t="s">
        <v>209</v>
      </c>
      <c r="C34" s="238">
        <f>SUM(C35:C37)</f>
        <v>88300</v>
      </c>
      <c r="D34" s="238">
        <f t="shared" ref="D34:P34" si="5">SUM(D35:D37)</f>
        <v>0</v>
      </c>
      <c r="E34" s="238">
        <f t="shared" si="5"/>
        <v>0</v>
      </c>
      <c r="F34" s="238">
        <f t="shared" si="5"/>
        <v>0</v>
      </c>
      <c r="G34" s="238">
        <f t="shared" si="5"/>
        <v>0</v>
      </c>
      <c r="H34" s="238">
        <f t="shared" si="5"/>
        <v>0</v>
      </c>
      <c r="I34" s="238">
        <f t="shared" si="5"/>
        <v>500</v>
      </c>
      <c r="J34" s="238">
        <f t="shared" si="5"/>
        <v>0</v>
      </c>
      <c r="K34" s="238">
        <f t="shared" si="5"/>
        <v>0</v>
      </c>
      <c r="L34" s="238">
        <f t="shared" si="5"/>
        <v>0</v>
      </c>
      <c r="M34" s="238">
        <f t="shared" si="5"/>
        <v>460.29</v>
      </c>
      <c r="N34" s="238">
        <f t="shared" si="5"/>
        <v>0</v>
      </c>
      <c r="O34" s="238">
        <f t="shared" si="5"/>
        <v>89260.29</v>
      </c>
      <c r="P34" s="238">
        <f t="shared" si="5"/>
        <v>0</v>
      </c>
    </row>
    <row r="35" spans="1:16" ht="14.25" customHeight="1" x14ac:dyDescent="0.25">
      <c r="A35" s="243"/>
      <c r="B35" s="244" t="s">
        <v>142</v>
      </c>
      <c r="C35" s="109">
        <f>SUM('prog-6'!C90)</f>
        <v>76700</v>
      </c>
      <c r="D35" s="109">
        <f>SUM('prog-6'!D90)</f>
        <v>0</v>
      </c>
      <c r="E35" s="109">
        <f>SUM('prog-6'!E90)</f>
        <v>0</v>
      </c>
      <c r="F35" s="109">
        <f>SUM('prog-6'!F90)</f>
        <v>0</v>
      </c>
      <c r="G35" s="109">
        <f>SUM('prog-6'!G90)</f>
        <v>0</v>
      </c>
      <c r="H35" s="109">
        <f>SUM('prog-6'!H90)</f>
        <v>0</v>
      </c>
      <c r="I35" s="109">
        <f>SUM('prog-6'!I90)</f>
        <v>500</v>
      </c>
      <c r="J35" s="109">
        <f>SUM('prog-6'!J90)</f>
        <v>0</v>
      </c>
      <c r="K35" s="109">
        <f>SUM('prog-6'!K90)</f>
        <v>0</v>
      </c>
      <c r="L35" s="109">
        <f>SUM('prog-6'!L90)</f>
        <v>0</v>
      </c>
      <c r="M35" s="109">
        <f>SUM('prog-6'!M90)</f>
        <v>460.29</v>
      </c>
      <c r="N35" s="109">
        <f>SUM('prog-6'!N90)</f>
        <v>0</v>
      </c>
      <c r="O35" s="109">
        <f>SUM('prog-6'!O90)</f>
        <v>77660.289999999994</v>
      </c>
      <c r="P35" s="109">
        <f>SUM('prog-6'!P90)</f>
        <v>0</v>
      </c>
    </row>
    <row r="36" spans="1:16" ht="14.25" customHeight="1" x14ac:dyDescent="0.25">
      <c r="A36" s="243"/>
      <c r="B36" s="244" t="s">
        <v>162</v>
      </c>
      <c r="C36" s="109">
        <f>SUM('prog-6'!C186)</f>
        <v>2000</v>
      </c>
      <c r="D36" s="109">
        <f>SUM('prog-6'!D186)</f>
        <v>0</v>
      </c>
      <c r="E36" s="109">
        <f>SUM('prog-6'!E186)</f>
        <v>0</v>
      </c>
      <c r="F36" s="109">
        <f>SUM('prog-6'!F186)</f>
        <v>0</v>
      </c>
      <c r="G36" s="109">
        <f>SUM('prog-6'!G186)</f>
        <v>0</v>
      </c>
      <c r="H36" s="109">
        <f>SUM('prog-6'!H186)</f>
        <v>0</v>
      </c>
      <c r="I36" s="109">
        <f>SUM('prog-6'!I186)</f>
        <v>0</v>
      </c>
      <c r="J36" s="109">
        <f>SUM('prog-6'!J186)</f>
        <v>0</v>
      </c>
      <c r="K36" s="109">
        <f>SUM('prog-6'!K186)</f>
        <v>0</v>
      </c>
      <c r="L36" s="109">
        <f>SUM('prog-6'!L186)</f>
        <v>0</v>
      </c>
      <c r="M36" s="109">
        <f>SUM('prog-6'!M186)</f>
        <v>0</v>
      </c>
      <c r="N36" s="109">
        <f>SUM('prog-6'!N186)</f>
        <v>0</v>
      </c>
      <c r="O36" s="109">
        <f>SUM('prog-6'!O186)</f>
        <v>2000</v>
      </c>
      <c r="P36" s="109">
        <f>SUM('prog-6'!P186)</f>
        <v>0</v>
      </c>
    </row>
    <row r="37" spans="1:16" ht="14.25" customHeight="1" x14ac:dyDescent="0.25">
      <c r="A37" s="243"/>
      <c r="B37" s="244" t="s">
        <v>299</v>
      </c>
      <c r="C37" s="109">
        <f>SUM('prog-6'!C384)</f>
        <v>9600</v>
      </c>
      <c r="D37" s="109">
        <f>SUM('prog-6'!D384)</f>
        <v>0</v>
      </c>
      <c r="E37" s="109">
        <f>SUM('prog-6'!E384)</f>
        <v>0</v>
      </c>
      <c r="F37" s="109">
        <f>SUM('prog-6'!F384)</f>
        <v>0</v>
      </c>
      <c r="G37" s="109">
        <f>SUM('prog-6'!G384)</f>
        <v>0</v>
      </c>
      <c r="H37" s="109">
        <f>SUM('prog-6'!H384)</f>
        <v>0</v>
      </c>
      <c r="I37" s="109">
        <f>SUM('prog-6'!I384)</f>
        <v>0</v>
      </c>
      <c r="J37" s="109">
        <f>SUM('prog-6'!J384)</f>
        <v>0</v>
      </c>
      <c r="K37" s="109">
        <f>SUM('prog-6'!K384)</f>
        <v>0</v>
      </c>
      <c r="L37" s="109">
        <f>SUM('prog-6'!L384)</f>
        <v>0</v>
      </c>
      <c r="M37" s="109">
        <f>SUM('prog-6'!M384)</f>
        <v>0</v>
      </c>
      <c r="N37" s="109">
        <f>SUM('prog-6'!N384)</f>
        <v>0</v>
      </c>
      <c r="O37" s="109">
        <f>SUM('prog-6'!O384)</f>
        <v>9600</v>
      </c>
      <c r="P37" s="109">
        <f>SUM('prog-6'!P384)</f>
        <v>0</v>
      </c>
    </row>
    <row r="38" spans="1:16" ht="25.5" customHeight="1" x14ac:dyDescent="0.25">
      <c r="A38" s="236" t="s">
        <v>100</v>
      </c>
      <c r="B38" s="242" t="s">
        <v>210</v>
      </c>
      <c r="C38" s="238">
        <f>SUM(C39:C41)</f>
        <v>122800</v>
      </c>
      <c r="D38" s="238">
        <f t="shared" ref="D38:P38" si="6">SUM(D39:D41)</f>
        <v>0</v>
      </c>
      <c r="E38" s="238">
        <f t="shared" si="6"/>
        <v>0</v>
      </c>
      <c r="F38" s="238">
        <f t="shared" si="6"/>
        <v>0</v>
      </c>
      <c r="G38" s="238">
        <f t="shared" si="6"/>
        <v>0</v>
      </c>
      <c r="H38" s="238">
        <f t="shared" si="6"/>
        <v>0</v>
      </c>
      <c r="I38" s="238">
        <f t="shared" si="6"/>
        <v>4700</v>
      </c>
      <c r="J38" s="238">
        <f t="shared" si="6"/>
        <v>0</v>
      </c>
      <c r="K38" s="238">
        <f t="shared" si="6"/>
        <v>0</v>
      </c>
      <c r="L38" s="238">
        <f t="shared" si="6"/>
        <v>0</v>
      </c>
      <c r="M38" s="238">
        <f t="shared" si="6"/>
        <v>2022.24</v>
      </c>
      <c r="N38" s="238">
        <f t="shared" si="6"/>
        <v>0</v>
      </c>
      <c r="O38" s="238">
        <f t="shared" si="6"/>
        <v>129522.24000000001</v>
      </c>
      <c r="P38" s="238">
        <f t="shared" si="6"/>
        <v>0</v>
      </c>
    </row>
    <row r="39" spans="1:16" ht="14.25" customHeight="1" x14ac:dyDescent="0.25">
      <c r="A39" s="239"/>
      <c r="B39" s="244" t="s">
        <v>142</v>
      </c>
      <c r="C39" s="109">
        <f>SUM('prog-6'!C97)</f>
        <v>102300</v>
      </c>
      <c r="D39" s="109">
        <f>SUM('prog-6'!D97)</f>
        <v>0</v>
      </c>
      <c r="E39" s="109">
        <f>SUM('prog-6'!E97)</f>
        <v>0</v>
      </c>
      <c r="F39" s="109">
        <f>SUM('prog-6'!F97)</f>
        <v>0</v>
      </c>
      <c r="G39" s="109">
        <f>SUM('prog-6'!G97)</f>
        <v>0</v>
      </c>
      <c r="H39" s="109">
        <f>SUM('prog-6'!H97)</f>
        <v>0</v>
      </c>
      <c r="I39" s="109">
        <f>SUM('prog-6'!I97)</f>
        <v>4700</v>
      </c>
      <c r="J39" s="109">
        <f>SUM('prog-6'!J97)</f>
        <v>0</v>
      </c>
      <c r="K39" s="109">
        <f>SUM('prog-6'!K97)</f>
        <v>0</v>
      </c>
      <c r="L39" s="109">
        <f>SUM('prog-6'!L97)</f>
        <v>0</v>
      </c>
      <c r="M39" s="109">
        <f>SUM('prog-6'!M97)</f>
        <v>2022.24</v>
      </c>
      <c r="N39" s="109">
        <f>SUM('prog-6'!N97)</f>
        <v>0</v>
      </c>
      <c r="O39" s="109">
        <f>SUM('prog-6'!O97)</f>
        <v>109022.24</v>
      </c>
      <c r="P39" s="109">
        <f>SUM('prog-6'!P97)</f>
        <v>0</v>
      </c>
    </row>
    <row r="40" spans="1:16" ht="14.25" customHeight="1" x14ac:dyDescent="0.25">
      <c r="A40" s="239"/>
      <c r="B40" s="244" t="s">
        <v>162</v>
      </c>
      <c r="C40" s="109">
        <f>SUM('prog-6'!C187)</f>
        <v>5000</v>
      </c>
      <c r="D40" s="109">
        <f>SUM('prog-6'!D187)</f>
        <v>0</v>
      </c>
      <c r="E40" s="109">
        <f>SUM('prog-6'!E187)</f>
        <v>0</v>
      </c>
      <c r="F40" s="109">
        <f>SUM('prog-6'!F187)</f>
        <v>0</v>
      </c>
      <c r="G40" s="109">
        <f>SUM('prog-6'!G187)</f>
        <v>0</v>
      </c>
      <c r="H40" s="109">
        <f>SUM('prog-6'!H187)</f>
        <v>0</v>
      </c>
      <c r="I40" s="109">
        <f>SUM('prog-6'!I187)</f>
        <v>0</v>
      </c>
      <c r="J40" s="109">
        <f>SUM('prog-6'!J187)</f>
        <v>0</v>
      </c>
      <c r="K40" s="109">
        <f>SUM('prog-6'!K187)</f>
        <v>0</v>
      </c>
      <c r="L40" s="109">
        <f>SUM('prog-6'!L187)</f>
        <v>0</v>
      </c>
      <c r="M40" s="109">
        <f>SUM('prog-6'!M187)</f>
        <v>0</v>
      </c>
      <c r="N40" s="109">
        <f>SUM('prog-6'!N187)</f>
        <v>0</v>
      </c>
      <c r="O40" s="109">
        <f>SUM('prog-6'!O187)</f>
        <v>5000</v>
      </c>
      <c r="P40" s="109">
        <f>SUM('prog-6'!P187)</f>
        <v>0</v>
      </c>
    </row>
    <row r="41" spans="1:16" ht="14.25" customHeight="1" x14ac:dyDescent="0.25">
      <c r="A41" s="239"/>
      <c r="B41" s="244" t="s">
        <v>299</v>
      </c>
      <c r="C41" s="109">
        <f>SUM('prog-6'!C387)</f>
        <v>15500</v>
      </c>
      <c r="D41" s="109">
        <f>SUM('prog-6'!D387)</f>
        <v>0</v>
      </c>
      <c r="E41" s="109">
        <f>SUM('prog-6'!E387)</f>
        <v>0</v>
      </c>
      <c r="F41" s="109">
        <f>SUM('prog-6'!F387)</f>
        <v>0</v>
      </c>
      <c r="G41" s="109">
        <f>SUM('prog-6'!G387)</f>
        <v>0</v>
      </c>
      <c r="H41" s="109">
        <f>SUM('prog-6'!H387)</f>
        <v>0</v>
      </c>
      <c r="I41" s="109">
        <f>SUM('prog-6'!I387)</f>
        <v>0</v>
      </c>
      <c r="J41" s="109">
        <f>SUM('prog-6'!J387)</f>
        <v>0</v>
      </c>
      <c r="K41" s="109">
        <f>SUM('prog-6'!K387)</f>
        <v>0</v>
      </c>
      <c r="L41" s="109">
        <f>SUM('prog-6'!L387)</f>
        <v>0</v>
      </c>
      <c r="M41" s="109">
        <f>SUM('prog-6'!M387)</f>
        <v>0</v>
      </c>
      <c r="N41" s="109">
        <f>SUM('prog-6'!N387)</f>
        <v>0</v>
      </c>
      <c r="O41" s="109">
        <f>SUM('prog-6'!O387)</f>
        <v>15500</v>
      </c>
      <c r="P41" s="109">
        <f>SUM('prog-6'!P387)</f>
        <v>0</v>
      </c>
    </row>
    <row r="42" spans="1:16" ht="24.75" customHeight="1" x14ac:dyDescent="0.25">
      <c r="A42" s="241" t="s">
        <v>211</v>
      </c>
      <c r="B42" s="242" t="s">
        <v>212</v>
      </c>
      <c r="C42" s="238">
        <f>SUM(C43:C45)</f>
        <v>116300</v>
      </c>
      <c r="D42" s="238">
        <f t="shared" ref="D42:P42" si="7">SUM(D43:D45)</f>
        <v>0</v>
      </c>
      <c r="E42" s="238">
        <f t="shared" si="7"/>
        <v>0</v>
      </c>
      <c r="F42" s="238">
        <f t="shared" si="7"/>
        <v>0</v>
      </c>
      <c r="G42" s="238">
        <f t="shared" si="7"/>
        <v>10000</v>
      </c>
      <c r="H42" s="238">
        <f t="shared" si="7"/>
        <v>0</v>
      </c>
      <c r="I42" s="238">
        <f t="shared" si="7"/>
        <v>1200</v>
      </c>
      <c r="J42" s="238">
        <f t="shared" si="7"/>
        <v>0</v>
      </c>
      <c r="K42" s="238">
        <f t="shared" si="7"/>
        <v>0</v>
      </c>
      <c r="L42" s="238">
        <f t="shared" si="7"/>
        <v>0</v>
      </c>
      <c r="M42" s="238">
        <f t="shared" si="7"/>
        <v>1936.71</v>
      </c>
      <c r="N42" s="238">
        <f t="shared" si="7"/>
        <v>0</v>
      </c>
      <c r="O42" s="238">
        <f t="shared" si="7"/>
        <v>129436.71</v>
      </c>
      <c r="P42" s="238">
        <f t="shared" si="7"/>
        <v>0</v>
      </c>
    </row>
    <row r="43" spans="1:16" ht="13.5" customHeight="1" x14ac:dyDescent="0.25">
      <c r="A43" s="243"/>
      <c r="B43" s="244" t="s">
        <v>142</v>
      </c>
      <c r="C43" s="109">
        <f>SUM('prog-6'!C105)</f>
        <v>96100</v>
      </c>
      <c r="D43" s="109">
        <f>SUM('prog-6'!D105)</f>
        <v>0</v>
      </c>
      <c r="E43" s="109">
        <f>SUM('prog-6'!E105)</f>
        <v>0</v>
      </c>
      <c r="F43" s="109">
        <f>SUM('prog-6'!F105)</f>
        <v>0</v>
      </c>
      <c r="G43" s="109">
        <f>SUM('prog-6'!G105)</f>
        <v>10000</v>
      </c>
      <c r="H43" s="109">
        <f>SUM('prog-6'!H105)</f>
        <v>0</v>
      </c>
      <c r="I43" s="109">
        <f>SUM('prog-6'!I105)</f>
        <v>1200</v>
      </c>
      <c r="J43" s="109">
        <f>SUM('prog-6'!J105)</f>
        <v>0</v>
      </c>
      <c r="K43" s="109">
        <f>SUM('prog-6'!K105)</f>
        <v>0</v>
      </c>
      <c r="L43" s="109">
        <f>SUM('prog-6'!L105)</f>
        <v>0</v>
      </c>
      <c r="M43" s="109">
        <f>SUM('prog-6'!M105)</f>
        <v>1936.71</v>
      </c>
      <c r="N43" s="109">
        <f>SUM('prog-6'!N105)</f>
        <v>0</v>
      </c>
      <c r="O43" s="109">
        <f>SUM('prog-6'!O105)</f>
        <v>109236.71</v>
      </c>
      <c r="P43" s="109">
        <f>SUM('prog-6'!P105)</f>
        <v>0</v>
      </c>
    </row>
    <row r="44" spans="1:16" ht="13.5" customHeight="1" x14ac:dyDescent="0.25">
      <c r="A44" s="243"/>
      <c r="B44" s="244" t="s">
        <v>162</v>
      </c>
      <c r="C44" s="109">
        <f>SUM('prog-6'!C188)</f>
        <v>700</v>
      </c>
      <c r="D44" s="109">
        <f>SUM('prog-6'!D188)</f>
        <v>0</v>
      </c>
      <c r="E44" s="109">
        <f>SUM('prog-6'!E188)</f>
        <v>0</v>
      </c>
      <c r="F44" s="109">
        <f>SUM('prog-6'!F188)</f>
        <v>0</v>
      </c>
      <c r="G44" s="109">
        <f>SUM('prog-6'!G188)</f>
        <v>0</v>
      </c>
      <c r="H44" s="109">
        <f>SUM('prog-6'!H188)</f>
        <v>0</v>
      </c>
      <c r="I44" s="109">
        <f>SUM('prog-6'!I188)</f>
        <v>0</v>
      </c>
      <c r="J44" s="109">
        <f>SUM('prog-6'!J188)</f>
        <v>0</v>
      </c>
      <c r="K44" s="109">
        <f>SUM('prog-6'!K188)</f>
        <v>0</v>
      </c>
      <c r="L44" s="109">
        <f>SUM('prog-6'!L188)</f>
        <v>0</v>
      </c>
      <c r="M44" s="109">
        <f>SUM('prog-6'!M188)</f>
        <v>0</v>
      </c>
      <c r="N44" s="109">
        <f>SUM('prog-6'!N188)</f>
        <v>0</v>
      </c>
      <c r="O44" s="109">
        <f>SUM('prog-6'!O188)</f>
        <v>700</v>
      </c>
      <c r="P44" s="109">
        <f>SUM('prog-6'!P188)</f>
        <v>0</v>
      </c>
    </row>
    <row r="45" spans="1:16" ht="13.5" customHeight="1" x14ac:dyDescent="0.25">
      <c r="A45" s="243"/>
      <c r="B45" s="244" t="s">
        <v>299</v>
      </c>
      <c r="C45" s="109">
        <f>SUM('prog-6'!C390)</f>
        <v>19500</v>
      </c>
      <c r="D45" s="109">
        <f>SUM('prog-6'!D390)</f>
        <v>0</v>
      </c>
      <c r="E45" s="109">
        <f>SUM('prog-6'!E390)</f>
        <v>0</v>
      </c>
      <c r="F45" s="109">
        <f>SUM('prog-6'!F390)</f>
        <v>0</v>
      </c>
      <c r="G45" s="109">
        <f>SUM('prog-6'!G390)</f>
        <v>0</v>
      </c>
      <c r="H45" s="109">
        <f>SUM('prog-6'!H390)</f>
        <v>0</v>
      </c>
      <c r="I45" s="109">
        <f>SUM('prog-6'!I390)</f>
        <v>0</v>
      </c>
      <c r="J45" s="109">
        <f>SUM('prog-6'!J390)</f>
        <v>0</v>
      </c>
      <c r="K45" s="109">
        <f>SUM('prog-6'!K390)</f>
        <v>0</v>
      </c>
      <c r="L45" s="109">
        <f>SUM('prog-6'!L390)</f>
        <v>0</v>
      </c>
      <c r="M45" s="109">
        <f>SUM('prog-6'!M390)</f>
        <v>0</v>
      </c>
      <c r="N45" s="109">
        <f>SUM('prog-6'!N390)</f>
        <v>0</v>
      </c>
      <c r="O45" s="109">
        <f>SUM('prog-6'!O390)</f>
        <v>19500</v>
      </c>
      <c r="P45" s="109">
        <f>SUM('prog-6'!P390)</f>
        <v>0</v>
      </c>
    </row>
    <row r="46" spans="1:16" ht="25.5" customHeight="1" x14ac:dyDescent="0.25">
      <c r="A46" s="236" t="s">
        <v>213</v>
      </c>
      <c r="B46" s="242" t="s">
        <v>214</v>
      </c>
      <c r="C46" s="238">
        <f>SUM(C47:C49)</f>
        <v>101900</v>
      </c>
      <c r="D46" s="238">
        <f t="shared" ref="D46:P46" si="8">SUM(D47:D49)</f>
        <v>0</v>
      </c>
      <c r="E46" s="238">
        <f t="shared" si="8"/>
        <v>0</v>
      </c>
      <c r="F46" s="238">
        <f t="shared" si="8"/>
        <v>0</v>
      </c>
      <c r="G46" s="238">
        <f t="shared" si="8"/>
        <v>0</v>
      </c>
      <c r="H46" s="238">
        <f t="shared" si="8"/>
        <v>0</v>
      </c>
      <c r="I46" s="238">
        <f t="shared" si="8"/>
        <v>6600</v>
      </c>
      <c r="J46" s="238">
        <f t="shared" si="8"/>
        <v>0</v>
      </c>
      <c r="K46" s="238">
        <f t="shared" si="8"/>
        <v>0</v>
      </c>
      <c r="L46" s="238">
        <f t="shared" si="8"/>
        <v>0</v>
      </c>
      <c r="M46" s="238">
        <f t="shared" si="8"/>
        <v>1739.3</v>
      </c>
      <c r="N46" s="238">
        <f t="shared" si="8"/>
        <v>0</v>
      </c>
      <c r="O46" s="238">
        <f t="shared" si="8"/>
        <v>110239.3</v>
      </c>
      <c r="P46" s="238">
        <f t="shared" si="8"/>
        <v>0</v>
      </c>
    </row>
    <row r="47" spans="1:16" ht="13.5" customHeight="1" x14ac:dyDescent="0.25">
      <c r="A47" s="239"/>
      <c r="B47" s="244" t="s">
        <v>142</v>
      </c>
      <c r="C47" s="109">
        <f>SUM('prog-6'!C114)</f>
        <v>77400</v>
      </c>
      <c r="D47" s="109">
        <f>SUM('prog-6'!D114)</f>
        <v>0</v>
      </c>
      <c r="E47" s="109">
        <f>SUM('prog-6'!E114)</f>
        <v>0</v>
      </c>
      <c r="F47" s="109">
        <f>SUM('prog-6'!F114)</f>
        <v>0</v>
      </c>
      <c r="G47" s="109">
        <f>SUM('prog-6'!G114)</f>
        <v>0</v>
      </c>
      <c r="H47" s="109">
        <f>SUM('prog-6'!H114)</f>
        <v>0</v>
      </c>
      <c r="I47" s="109">
        <f>SUM('prog-6'!I114)</f>
        <v>6600</v>
      </c>
      <c r="J47" s="109">
        <f>SUM('prog-6'!J114)</f>
        <v>0</v>
      </c>
      <c r="K47" s="109">
        <f>SUM('prog-6'!K114)</f>
        <v>0</v>
      </c>
      <c r="L47" s="109">
        <f>SUM('prog-6'!L114)</f>
        <v>0</v>
      </c>
      <c r="M47" s="109">
        <f>SUM('prog-6'!M114)</f>
        <v>1739.3</v>
      </c>
      <c r="N47" s="109">
        <f>SUM('prog-6'!N114)</f>
        <v>0</v>
      </c>
      <c r="O47" s="109">
        <f>SUM('prog-6'!O114)</f>
        <v>85739.3</v>
      </c>
      <c r="P47" s="109">
        <f>SUM('prog-6'!P114)</f>
        <v>0</v>
      </c>
    </row>
    <row r="48" spans="1:16" ht="13.5" customHeight="1" x14ac:dyDescent="0.25">
      <c r="A48" s="239"/>
      <c r="B48" s="244" t="s">
        <v>162</v>
      </c>
      <c r="C48" s="109">
        <f>SUM('prog-6'!C189)</f>
        <v>1400</v>
      </c>
      <c r="D48" s="109">
        <f>SUM('prog-6'!D189)</f>
        <v>0</v>
      </c>
      <c r="E48" s="109">
        <f>SUM('prog-6'!E189)</f>
        <v>0</v>
      </c>
      <c r="F48" s="109">
        <f>SUM('prog-6'!F189)</f>
        <v>0</v>
      </c>
      <c r="G48" s="109">
        <f>SUM('prog-6'!G189)</f>
        <v>0</v>
      </c>
      <c r="H48" s="109">
        <f>SUM('prog-6'!H189)</f>
        <v>0</v>
      </c>
      <c r="I48" s="109">
        <f>SUM('prog-6'!I189)</f>
        <v>0</v>
      </c>
      <c r="J48" s="109">
        <f>SUM('prog-6'!J189)</f>
        <v>0</v>
      </c>
      <c r="K48" s="109">
        <f>SUM('prog-6'!K189)</f>
        <v>0</v>
      </c>
      <c r="L48" s="109">
        <f>SUM('prog-6'!L189)</f>
        <v>0</v>
      </c>
      <c r="M48" s="109">
        <f>SUM('prog-6'!M189)</f>
        <v>0</v>
      </c>
      <c r="N48" s="109">
        <f>SUM('prog-6'!N189)</f>
        <v>0</v>
      </c>
      <c r="O48" s="109">
        <f>SUM('prog-6'!O189)</f>
        <v>1400</v>
      </c>
      <c r="P48" s="109">
        <f>SUM('prog-6'!P189)</f>
        <v>0</v>
      </c>
    </row>
    <row r="49" spans="1:16" ht="13.5" customHeight="1" x14ac:dyDescent="0.25">
      <c r="A49" s="239"/>
      <c r="B49" s="244" t="s">
        <v>299</v>
      </c>
      <c r="C49" s="109">
        <f>SUM('prog-6'!C393)</f>
        <v>23100</v>
      </c>
      <c r="D49" s="109">
        <f>SUM('prog-6'!D393)</f>
        <v>0</v>
      </c>
      <c r="E49" s="109">
        <f>SUM('prog-6'!E393)</f>
        <v>0</v>
      </c>
      <c r="F49" s="109">
        <f>SUM('prog-6'!F393)</f>
        <v>0</v>
      </c>
      <c r="G49" s="109">
        <f>SUM('prog-6'!G393)</f>
        <v>0</v>
      </c>
      <c r="H49" s="109">
        <f>SUM('prog-6'!H393)</f>
        <v>0</v>
      </c>
      <c r="I49" s="109">
        <f>SUM('prog-6'!I393)</f>
        <v>0</v>
      </c>
      <c r="J49" s="109">
        <f>SUM('prog-6'!J393)</f>
        <v>0</v>
      </c>
      <c r="K49" s="109">
        <f>SUM('prog-6'!K393)</f>
        <v>0</v>
      </c>
      <c r="L49" s="109">
        <f>SUM('prog-6'!L393)</f>
        <v>0</v>
      </c>
      <c r="M49" s="109">
        <f>SUM('prog-6'!M393)</f>
        <v>0</v>
      </c>
      <c r="N49" s="109">
        <f>SUM('prog-6'!N393)</f>
        <v>0</v>
      </c>
      <c r="O49" s="109">
        <f>SUM('prog-6'!O393)</f>
        <v>23100</v>
      </c>
      <c r="P49" s="109">
        <f>SUM('prog-6'!P393)</f>
        <v>0</v>
      </c>
    </row>
    <row r="50" spans="1:16" ht="24.75" customHeight="1" x14ac:dyDescent="0.25">
      <c r="A50" s="241" t="s">
        <v>215</v>
      </c>
      <c r="B50" s="242" t="s">
        <v>216</v>
      </c>
      <c r="C50" s="238">
        <f>SUM(C51:C53)</f>
        <v>74100</v>
      </c>
      <c r="D50" s="238">
        <f t="shared" ref="D50:P50" si="9">SUM(D51:D53)</f>
        <v>0</v>
      </c>
      <c r="E50" s="238">
        <f t="shared" si="9"/>
        <v>0</v>
      </c>
      <c r="F50" s="238">
        <f t="shared" si="9"/>
        <v>0</v>
      </c>
      <c r="G50" s="238">
        <f t="shared" si="9"/>
        <v>0</v>
      </c>
      <c r="H50" s="238">
        <f t="shared" si="9"/>
        <v>0</v>
      </c>
      <c r="I50" s="238">
        <f t="shared" si="9"/>
        <v>800</v>
      </c>
      <c r="J50" s="238">
        <f t="shared" si="9"/>
        <v>0</v>
      </c>
      <c r="K50" s="238">
        <f t="shared" si="9"/>
        <v>0</v>
      </c>
      <c r="L50" s="238">
        <f t="shared" si="9"/>
        <v>0</v>
      </c>
      <c r="M50" s="238">
        <f t="shared" si="9"/>
        <v>209.99</v>
      </c>
      <c r="N50" s="238">
        <f t="shared" si="9"/>
        <v>0</v>
      </c>
      <c r="O50" s="238">
        <f t="shared" si="9"/>
        <v>75109.989999999991</v>
      </c>
      <c r="P50" s="238">
        <f t="shared" si="9"/>
        <v>0</v>
      </c>
    </row>
    <row r="51" spans="1:16" ht="13.5" customHeight="1" x14ac:dyDescent="0.25">
      <c r="A51" s="243"/>
      <c r="B51" s="244" t="s">
        <v>142</v>
      </c>
      <c r="C51" s="109">
        <f>SUM('prog-6'!C122)</f>
        <v>58200</v>
      </c>
      <c r="D51" s="109">
        <f>SUM('prog-6'!D122)</f>
        <v>0</v>
      </c>
      <c r="E51" s="109">
        <f>SUM('prog-6'!E122)</f>
        <v>0</v>
      </c>
      <c r="F51" s="109">
        <f>SUM('prog-6'!F122)</f>
        <v>0</v>
      </c>
      <c r="G51" s="109">
        <f>SUM('prog-6'!G122)</f>
        <v>0</v>
      </c>
      <c r="H51" s="109">
        <f>SUM('prog-6'!H122)</f>
        <v>0</v>
      </c>
      <c r="I51" s="109">
        <f>SUM('prog-6'!I122)</f>
        <v>800</v>
      </c>
      <c r="J51" s="109">
        <f>SUM('prog-6'!J122)</f>
        <v>0</v>
      </c>
      <c r="K51" s="109">
        <f>SUM('prog-6'!K122)</f>
        <v>0</v>
      </c>
      <c r="L51" s="109">
        <f>SUM('prog-6'!L122)</f>
        <v>0</v>
      </c>
      <c r="M51" s="109">
        <f>SUM('prog-6'!M122)</f>
        <v>209.99</v>
      </c>
      <c r="N51" s="109">
        <f>SUM('prog-6'!N122)</f>
        <v>0</v>
      </c>
      <c r="O51" s="109">
        <f>SUM('prog-6'!O122)</f>
        <v>59209.99</v>
      </c>
      <c r="P51" s="109">
        <f>SUM('prog-6'!P122)</f>
        <v>0</v>
      </c>
    </row>
    <row r="52" spans="1:16" ht="13.5" customHeight="1" x14ac:dyDescent="0.25">
      <c r="A52" s="243"/>
      <c r="B52" s="244" t="s">
        <v>162</v>
      </c>
      <c r="C52" s="109">
        <f>SUM('prog-6'!C190)</f>
        <v>1000</v>
      </c>
      <c r="D52" s="109">
        <f>SUM('prog-6'!D190)</f>
        <v>0</v>
      </c>
      <c r="E52" s="109">
        <f>SUM('prog-6'!E190)</f>
        <v>0</v>
      </c>
      <c r="F52" s="109">
        <f>SUM('prog-6'!F190)</f>
        <v>0</v>
      </c>
      <c r="G52" s="109">
        <f>SUM('prog-6'!G190)</f>
        <v>0</v>
      </c>
      <c r="H52" s="109">
        <f>SUM('prog-6'!H190)</f>
        <v>0</v>
      </c>
      <c r="I52" s="109">
        <f>SUM('prog-6'!I190)</f>
        <v>0</v>
      </c>
      <c r="J52" s="109">
        <f>SUM('prog-6'!J190)</f>
        <v>0</v>
      </c>
      <c r="K52" s="109">
        <f>SUM('prog-6'!K190)</f>
        <v>0</v>
      </c>
      <c r="L52" s="109">
        <f>SUM('prog-6'!L190)</f>
        <v>0</v>
      </c>
      <c r="M52" s="109">
        <f>SUM('prog-6'!M190)</f>
        <v>0</v>
      </c>
      <c r="N52" s="109">
        <f>SUM('prog-6'!N190)</f>
        <v>0</v>
      </c>
      <c r="O52" s="109">
        <f>SUM('prog-6'!O190)</f>
        <v>1000</v>
      </c>
      <c r="P52" s="109">
        <f>SUM('prog-6'!P190)</f>
        <v>0</v>
      </c>
    </row>
    <row r="53" spans="1:16" ht="13.5" customHeight="1" x14ac:dyDescent="0.25">
      <c r="A53" s="243"/>
      <c r="B53" s="244" t="s">
        <v>299</v>
      </c>
      <c r="C53" s="109">
        <f>SUM('prog-6'!C396)</f>
        <v>14900</v>
      </c>
      <c r="D53" s="109">
        <f>SUM('prog-6'!D396)</f>
        <v>0</v>
      </c>
      <c r="E53" s="109">
        <f>SUM('prog-6'!E396)</f>
        <v>0</v>
      </c>
      <c r="F53" s="109">
        <f>SUM('prog-6'!F396)</f>
        <v>0</v>
      </c>
      <c r="G53" s="109">
        <f>SUM('prog-6'!G396)</f>
        <v>0</v>
      </c>
      <c r="H53" s="109">
        <f>SUM('prog-6'!H396)</f>
        <v>0</v>
      </c>
      <c r="I53" s="109">
        <f>SUM('prog-6'!I396)</f>
        <v>0</v>
      </c>
      <c r="J53" s="109">
        <f>SUM('prog-6'!J396)</f>
        <v>0</v>
      </c>
      <c r="K53" s="109">
        <f>SUM('prog-6'!K396)</f>
        <v>0</v>
      </c>
      <c r="L53" s="109">
        <f>SUM('prog-6'!L396)</f>
        <v>0</v>
      </c>
      <c r="M53" s="109">
        <f>SUM('prog-6'!M396)</f>
        <v>0</v>
      </c>
      <c r="N53" s="109">
        <f>SUM('prog-6'!N396)</f>
        <v>0</v>
      </c>
      <c r="O53" s="109">
        <f>SUM('prog-6'!O396)</f>
        <v>14900</v>
      </c>
      <c r="P53" s="109">
        <f>SUM('prog-6'!P396)</f>
        <v>0</v>
      </c>
    </row>
    <row r="54" spans="1:16" ht="24" customHeight="1" x14ac:dyDescent="0.25">
      <c r="A54" s="236" t="s">
        <v>217</v>
      </c>
      <c r="B54" s="242" t="s">
        <v>218</v>
      </c>
      <c r="C54" s="238">
        <f>SUM(C55:C57)</f>
        <v>67500</v>
      </c>
      <c r="D54" s="238">
        <f t="shared" ref="D54:P54" si="10">SUM(D55:D57)</f>
        <v>0</v>
      </c>
      <c r="E54" s="238">
        <f t="shared" si="10"/>
        <v>0</v>
      </c>
      <c r="F54" s="238">
        <f t="shared" si="10"/>
        <v>0</v>
      </c>
      <c r="G54" s="238">
        <f t="shared" si="10"/>
        <v>0</v>
      </c>
      <c r="H54" s="238">
        <f t="shared" si="10"/>
        <v>0</v>
      </c>
      <c r="I54" s="238">
        <f t="shared" si="10"/>
        <v>400</v>
      </c>
      <c r="J54" s="238">
        <f t="shared" si="10"/>
        <v>0</v>
      </c>
      <c r="K54" s="238">
        <f t="shared" si="10"/>
        <v>0</v>
      </c>
      <c r="L54" s="238">
        <f t="shared" si="10"/>
        <v>0</v>
      </c>
      <c r="M54" s="238">
        <f t="shared" si="10"/>
        <v>308.32</v>
      </c>
      <c r="N54" s="238">
        <f t="shared" si="10"/>
        <v>0</v>
      </c>
      <c r="O54" s="238">
        <f t="shared" si="10"/>
        <v>68208.320000000007</v>
      </c>
      <c r="P54" s="238">
        <f t="shared" si="10"/>
        <v>0</v>
      </c>
    </row>
    <row r="55" spans="1:16" ht="13.5" customHeight="1" x14ac:dyDescent="0.25">
      <c r="A55" s="239"/>
      <c r="B55" s="244" t="s">
        <v>142</v>
      </c>
      <c r="C55" s="109">
        <f>SUM('prog-6'!C127)</f>
        <v>48800</v>
      </c>
      <c r="D55" s="109">
        <f>SUM('prog-6'!D127)</f>
        <v>0</v>
      </c>
      <c r="E55" s="109">
        <f>SUM('prog-6'!E127)</f>
        <v>0</v>
      </c>
      <c r="F55" s="109">
        <f>SUM('prog-6'!F127)</f>
        <v>0</v>
      </c>
      <c r="G55" s="109">
        <f>SUM('prog-6'!G127)</f>
        <v>0</v>
      </c>
      <c r="H55" s="109">
        <f>SUM('prog-6'!H127)</f>
        <v>0</v>
      </c>
      <c r="I55" s="109">
        <f>SUM('prog-6'!I127)</f>
        <v>400</v>
      </c>
      <c r="J55" s="109">
        <f>SUM('prog-6'!J127)</f>
        <v>0</v>
      </c>
      <c r="K55" s="109">
        <f>SUM('prog-6'!K127)</f>
        <v>0</v>
      </c>
      <c r="L55" s="109">
        <f>SUM('prog-6'!L127)</f>
        <v>0</v>
      </c>
      <c r="M55" s="109">
        <f>SUM('prog-6'!M127)</f>
        <v>308.32</v>
      </c>
      <c r="N55" s="109">
        <f>SUM('prog-6'!N127)</f>
        <v>0</v>
      </c>
      <c r="O55" s="109">
        <f>SUM('prog-6'!O127)</f>
        <v>49508.32</v>
      </c>
      <c r="P55" s="109">
        <f>SUM('prog-6'!P127)</f>
        <v>0</v>
      </c>
    </row>
    <row r="56" spans="1:16" ht="13.5" customHeight="1" x14ac:dyDescent="0.25">
      <c r="A56" s="239"/>
      <c r="B56" s="244" t="s">
        <v>162</v>
      </c>
      <c r="C56" s="109">
        <f>SUM('prog-6'!C191)</f>
        <v>1000</v>
      </c>
      <c r="D56" s="109">
        <f>SUM('prog-6'!D191)</f>
        <v>0</v>
      </c>
      <c r="E56" s="109">
        <f>SUM('prog-6'!E191)</f>
        <v>0</v>
      </c>
      <c r="F56" s="109">
        <f>SUM('prog-6'!F191)</f>
        <v>0</v>
      </c>
      <c r="G56" s="109">
        <f>SUM('prog-6'!G191)</f>
        <v>0</v>
      </c>
      <c r="H56" s="109">
        <f>SUM('prog-6'!H191)</f>
        <v>0</v>
      </c>
      <c r="I56" s="109">
        <f>SUM('prog-6'!I191)</f>
        <v>0</v>
      </c>
      <c r="J56" s="109">
        <f>SUM('prog-6'!J191)</f>
        <v>0</v>
      </c>
      <c r="K56" s="109">
        <f>SUM('prog-6'!K191)</f>
        <v>0</v>
      </c>
      <c r="L56" s="109">
        <f>SUM('prog-6'!L191)</f>
        <v>0</v>
      </c>
      <c r="M56" s="109">
        <f>SUM('prog-6'!M191)</f>
        <v>0</v>
      </c>
      <c r="N56" s="109">
        <f>SUM('prog-6'!N191)</f>
        <v>0</v>
      </c>
      <c r="O56" s="109">
        <f>SUM('prog-6'!O191)</f>
        <v>1000</v>
      </c>
      <c r="P56" s="109">
        <f>SUM('prog-6'!P191)</f>
        <v>0</v>
      </c>
    </row>
    <row r="57" spans="1:16" ht="13.5" customHeight="1" x14ac:dyDescent="0.25">
      <c r="A57" s="239"/>
      <c r="B57" s="244" t="s">
        <v>299</v>
      </c>
      <c r="C57" s="109">
        <f>SUM('prog-6'!C399)</f>
        <v>17700</v>
      </c>
      <c r="D57" s="109">
        <f>SUM('prog-6'!D399)</f>
        <v>0</v>
      </c>
      <c r="E57" s="109">
        <f>SUM('prog-6'!E399)</f>
        <v>0</v>
      </c>
      <c r="F57" s="109">
        <f>SUM('prog-6'!F399)</f>
        <v>0</v>
      </c>
      <c r="G57" s="109">
        <f>SUM('prog-6'!G399)</f>
        <v>0</v>
      </c>
      <c r="H57" s="109">
        <f>SUM('prog-6'!H399)</f>
        <v>0</v>
      </c>
      <c r="I57" s="109">
        <f>SUM('prog-6'!I399)</f>
        <v>0</v>
      </c>
      <c r="J57" s="109">
        <f>SUM('prog-6'!J399)</f>
        <v>0</v>
      </c>
      <c r="K57" s="109">
        <f>SUM('prog-6'!K399)</f>
        <v>0</v>
      </c>
      <c r="L57" s="109">
        <f>SUM('prog-6'!L399)</f>
        <v>0</v>
      </c>
      <c r="M57" s="109">
        <f>SUM('prog-6'!M399)</f>
        <v>0</v>
      </c>
      <c r="N57" s="109">
        <f>SUM('prog-6'!N399)</f>
        <v>0</v>
      </c>
      <c r="O57" s="109">
        <f>SUM('prog-6'!O399)</f>
        <v>17700</v>
      </c>
      <c r="P57" s="109">
        <f>SUM('prog-6'!P399)</f>
        <v>0</v>
      </c>
    </row>
    <row r="58" spans="1:16" ht="25.5" customHeight="1" x14ac:dyDescent="0.25">
      <c r="A58" s="241" t="s">
        <v>219</v>
      </c>
      <c r="B58" s="245" t="s">
        <v>220</v>
      </c>
      <c r="C58" s="238">
        <f>SUM(C59:C61)</f>
        <v>59000</v>
      </c>
      <c r="D58" s="238">
        <f t="shared" ref="D58:P58" si="11">SUM(D59:D61)</f>
        <v>0</v>
      </c>
      <c r="E58" s="238">
        <f t="shared" si="11"/>
        <v>0</v>
      </c>
      <c r="F58" s="238">
        <f t="shared" si="11"/>
        <v>0</v>
      </c>
      <c r="G58" s="238">
        <f t="shared" si="11"/>
        <v>0</v>
      </c>
      <c r="H58" s="238">
        <f t="shared" si="11"/>
        <v>0</v>
      </c>
      <c r="I58" s="238">
        <f t="shared" si="11"/>
        <v>500</v>
      </c>
      <c r="J58" s="238">
        <f t="shared" si="11"/>
        <v>0</v>
      </c>
      <c r="K58" s="238">
        <f t="shared" si="11"/>
        <v>0</v>
      </c>
      <c r="L58" s="238">
        <f t="shared" si="11"/>
        <v>0</v>
      </c>
      <c r="M58" s="238">
        <f t="shared" si="11"/>
        <v>528.36</v>
      </c>
      <c r="N58" s="238">
        <f t="shared" si="11"/>
        <v>0</v>
      </c>
      <c r="O58" s="238">
        <f t="shared" si="11"/>
        <v>60028.36</v>
      </c>
      <c r="P58" s="238">
        <f t="shared" si="11"/>
        <v>0</v>
      </c>
    </row>
    <row r="59" spans="1:16" ht="13.5" customHeight="1" x14ac:dyDescent="0.25">
      <c r="A59" s="243"/>
      <c r="B59" s="244" t="s">
        <v>142</v>
      </c>
      <c r="C59" s="109">
        <f>SUM('prog-6'!C134)</f>
        <v>41200</v>
      </c>
      <c r="D59" s="109">
        <f>SUM('prog-6'!D134)</f>
        <v>0</v>
      </c>
      <c r="E59" s="109">
        <f>SUM('prog-6'!E134)</f>
        <v>0</v>
      </c>
      <c r="F59" s="109">
        <f>SUM('prog-6'!F134)</f>
        <v>0</v>
      </c>
      <c r="G59" s="109">
        <f>SUM('prog-6'!G134)</f>
        <v>0</v>
      </c>
      <c r="H59" s="109">
        <f>SUM('prog-6'!H134)</f>
        <v>0</v>
      </c>
      <c r="I59" s="109">
        <f>SUM('prog-6'!I134)</f>
        <v>500</v>
      </c>
      <c r="J59" s="109">
        <f>SUM('prog-6'!J134)</f>
        <v>0</v>
      </c>
      <c r="K59" s="109">
        <f>SUM('prog-6'!K134)</f>
        <v>0</v>
      </c>
      <c r="L59" s="109">
        <f>SUM('prog-6'!L134)</f>
        <v>0</v>
      </c>
      <c r="M59" s="109">
        <f>SUM('prog-6'!M134)</f>
        <v>528.36</v>
      </c>
      <c r="N59" s="109">
        <f>SUM('prog-6'!N134)</f>
        <v>0</v>
      </c>
      <c r="O59" s="109">
        <f>SUM('prog-6'!O134)</f>
        <v>42228.36</v>
      </c>
      <c r="P59" s="109">
        <f>SUM('prog-6'!P134)</f>
        <v>0</v>
      </c>
    </row>
    <row r="60" spans="1:16" ht="13.5" customHeight="1" x14ac:dyDescent="0.25">
      <c r="A60" s="243"/>
      <c r="B60" s="244" t="s">
        <v>162</v>
      </c>
      <c r="C60" s="109">
        <f>SUM('prog-6'!C192)</f>
        <v>1000</v>
      </c>
      <c r="D60" s="109">
        <f>SUM('prog-6'!D192)</f>
        <v>0</v>
      </c>
      <c r="E60" s="109">
        <f>SUM('prog-6'!E192)</f>
        <v>0</v>
      </c>
      <c r="F60" s="109">
        <f>SUM('prog-6'!F192)</f>
        <v>0</v>
      </c>
      <c r="G60" s="109">
        <f>SUM('prog-6'!G192)</f>
        <v>0</v>
      </c>
      <c r="H60" s="109">
        <f>SUM('prog-6'!H192)</f>
        <v>0</v>
      </c>
      <c r="I60" s="109">
        <f>SUM('prog-6'!I192)</f>
        <v>0</v>
      </c>
      <c r="J60" s="109">
        <f>SUM('prog-6'!J192)</f>
        <v>0</v>
      </c>
      <c r="K60" s="109">
        <f>SUM('prog-6'!K192)</f>
        <v>0</v>
      </c>
      <c r="L60" s="109">
        <f>SUM('prog-6'!L192)</f>
        <v>0</v>
      </c>
      <c r="M60" s="109">
        <f>SUM('prog-6'!M192)</f>
        <v>0</v>
      </c>
      <c r="N60" s="109">
        <f>SUM('prog-6'!N192)</f>
        <v>0</v>
      </c>
      <c r="O60" s="109">
        <f>SUM('prog-6'!O192)</f>
        <v>1000</v>
      </c>
      <c r="P60" s="109">
        <f>SUM('prog-6'!P192)</f>
        <v>0</v>
      </c>
    </row>
    <row r="61" spans="1:16" ht="13.5" customHeight="1" x14ac:dyDescent="0.25">
      <c r="A61" s="243"/>
      <c r="B61" s="244" t="s">
        <v>299</v>
      </c>
      <c r="C61" s="109">
        <f>SUM('prog-6'!C402)</f>
        <v>16800</v>
      </c>
      <c r="D61" s="109">
        <f>SUM('prog-6'!D402)</f>
        <v>0</v>
      </c>
      <c r="E61" s="109">
        <f>SUM('prog-6'!E402)</f>
        <v>0</v>
      </c>
      <c r="F61" s="109">
        <f>SUM('prog-6'!F402)</f>
        <v>0</v>
      </c>
      <c r="G61" s="109">
        <f>SUM('prog-6'!G402)</f>
        <v>0</v>
      </c>
      <c r="H61" s="109">
        <f>SUM('prog-6'!H402)</f>
        <v>0</v>
      </c>
      <c r="I61" s="109">
        <f>SUM('prog-6'!I402)</f>
        <v>0</v>
      </c>
      <c r="J61" s="109">
        <f>SUM('prog-6'!J402)</f>
        <v>0</v>
      </c>
      <c r="K61" s="109">
        <f>SUM('prog-6'!K402)</f>
        <v>0</v>
      </c>
      <c r="L61" s="109">
        <f>SUM('prog-6'!L402)</f>
        <v>0</v>
      </c>
      <c r="M61" s="109">
        <f>SUM('prog-6'!M402)</f>
        <v>0</v>
      </c>
      <c r="N61" s="109">
        <f>SUM('prog-6'!N402)</f>
        <v>0</v>
      </c>
      <c r="O61" s="109">
        <f>SUM('prog-6'!O402)</f>
        <v>16800</v>
      </c>
      <c r="P61" s="109">
        <f>SUM('prog-6'!P402)</f>
        <v>0</v>
      </c>
    </row>
    <row r="62" spans="1:16" ht="24.75" customHeight="1" x14ac:dyDescent="0.25">
      <c r="A62" s="236" t="s">
        <v>221</v>
      </c>
      <c r="B62" s="242" t="s">
        <v>222</v>
      </c>
      <c r="C62" s="238">
        <f>SUM(C63:C65)</f>
        <v>54100</v>
      </c>
      <c r="D62" s="238">
        <f t="shared" ref="D62:P62" si="12">SUM(D63:D65)</f>
        <v>0</v>
      </c>
      <c r="E62" s="238">
        <f t="shared" si="12"/>
        <v>0</v>
      </c>
      <c r="F62" s="238">
        <f t="shared" si="12"/>
        <v>0</v>
      </c>
      <c r="G62" s="238">
        <f t="shared" si="12"/>
        <v>0</v>
      </c>
      <c r="H62" s="238">
        <f t="shared" si="12"/>
        <v>0</v>
      </c>
      <c r="I62" s="238">
        <f t="shared" si="12"/>
        <v>1000</v>
      </c>
      <c r="J62" s="238">
        <f t="shared" si="12"/>
        <v>0</v>
      </c>
      <c r="K62" s="238">
        <f t="shared" si="12"/>
        <v>0</v>
      </c>
      <c r="L62" s="238">
        <f t="shared" si="12"/>
        <v>0</v>
      </c>
      <c r="M62" s="238">
        <f t="shared" si="12"/>
        <v>578.16</v>
      </c>
      <c r="N62" s="238">
        <f t="shared" si="12"/>
        <v>0</v>
      </c>
      <c r="O62" s="238">
        <f t="shared" si="12"/>
        <v>55678.16</v>
      </c>
      <c r="P62" s="238">
        <f t="shared" si="12"/>
        <v>0</v>
      </c>
    </row>
    <row r="63" spans="1:16" ht="13.5" customHeight="1" x14ac:dyDescent="0.25">
      <c r="A63" s="239"/>
      <c r="B63" s="244" t="s">
        <v>142</v>
      </c>
      <c r="C63" s="109">
        <f>SUM('prog-6'!C140)</f>
        <v>35500</v>
      </c>
      <c r="D63" s="109">
        <f>SUM('prog-6'!D140)</f>
        <v>0</v>
      </c>
      <c r="E63" s="109">
        <f>SUM('prog-6'!E140)</f>
        <v>0</v>
      </c>
      <c r="F63" s="109">
        <f>SUM('prog-6'!F140)</f>
        <v>0</v>
      </c>
      <c r="G63" s="109">
        <f>SUM('prog-6'!G140)</f>
        <v>0</v>
      </c>
      <c r="H63" s="109">
        <f>SUM('prog-6'!H140)</f>
        <v>0</v>
      </c>
      <c r="I63" s="109">
        <f>SUM('prog-6'!I140)</f>
        <v>1000</v>
      </c>
      <c r="J63" s="109">
        <f>SUM('prog-6'!J140)</f>
        <v>0</v>
      </c>
      <c r="K63" s="109">
        <f>SUM('prog-6'!K140)</f>
        <v>0</v>
      </c>
      <c r="L63" s="109">
        <f>SUM('prog-6'!L140)</f>
        <v>0</v>
      </c>
      <c r="M63" s="109">
        <f>SUM('prog-6'!M140)</f>
        <v>578.16</v>
      </c>
      <c r="N63" s="109">
        <f>SUM('prog-6'!N140)</f>
        <v>0</v>
      </c>
      <c r="O63" s="109">
        <f>SUM('prog-6'!O140)</f>
        <v>37078.160000000003</v>
      </c>
      <c r="P63" s="109">
        <f>SUM('prog-6'!P140)</f>
        <v>0</v>
      </c>
    </row>
    <row r="64" spans="1:16" ht="13.5" customHeight="1" x14ac:dyDescent="0.25">
      <c r="A64" s="239"/>
      <c r="B64" s="244" t="s">
        <v>162</v>
      </c>
      <c r="C64" s="109">
        <f>SUM('prog-6'!C193)</f>
        <v>1000</v>
      </c>
      <c r="D64" s="109">
        <f>SUM('prog-6'!D193)</f>
        <v>0</v>
      </c>
      <c r="E64" s="109">
        <f>SUM('prog-6'!E193)</f>
        <v>0</v>
      </c>
      <c r="F64" s="109">
        <f>SUM('prog-6'!F193)</f>
        <v>0</v>
      </c>
      <c r="G64" s="109">
        <f>SUM('prog-6'!G193)</f>
        <v>0</v>
      </c>
      <c r="H64" s="109">
        <f>SUM('prog-6'!H193)</f>
        <v>0</v>
      </c>
      <c r="I64" s="109">
        <f>SUM('prog-6'!I193)</f>
        <v>0</v>
      </c>
      <c r="J64" s="109">
        <f>SUM('prog-6'!J193)</f>
        <v>0</v>
      </c>
      <c r="K64" s="109">
        <f>SUM('prog-6'!K193)</f>
        <v>0</v>
      </c>
      <c r="L64" s="109">
        <f>SUM('prog-6'!L193)</f>
        <v>0</v>
      </c>
      <c r="M64" s="109">
        <f>SUM('prog-6'!M193)</f>
        <v>0</v>
      </c>
      <c r="N64" s="109">
        <f>SUM('prog-6'!N193)</f>
        <v>0</v>
      </c>
      <c r="O64" s="109">
        <f>SUM('prog-6'!O193)</f>
        <v>1000</v>
      </c>
      <c r="P64" s="109">
        <f>SUM('prog-6'!P193)</f>
        <v>0</v>
      </c>
    </row>
    <row r="65" spans="1:16" ht="13.5" customHeight="1" x14ac:dyDescent="0.25">
      <c r="A65" s="239"/>
      <c r="B65" s="244" t="s">
        <v>299</v>
      </c>
      <c r="C65" s="109">
        <f>SUM('prog-6'!C405)</f>
        <v>17600</v>
      </c>
      <c r="D65" s="109">
        <f>SUM('prog-6'!D405)</f>
        <v>0</v>
      </c>
      <c r="E65" s="109">
        <f>SUM('prog-6'!E405)</f>
        <v>0</v>
      </c>
      <c r="F65" s="109">
        <f>SUM('prog-6'!F405)</f>
        <v>0</v>
      </c>
      <c r="G65" s="109">
        <f>SUM('prog-6'!G405)</f>
        <v>0</v>
      </c>
      <c r="H65" s="109">
        <f>SUM('prog-6'!H405)</f>
        <v>0</v>
      </c>
      <c r="I65" s="109">
        <f>SUM('prog-6'!I405)</f>
        <v>0</v>
      </c>
      <c r="J65" s="109">
        <f>SUM('prog-6'!J405)</f>
        <v>0</v>
      </c>
      <c r="K65" s="109">
        <f>SUM('prog-6'!K405)</f>
        <v>0</v>
      </c>
      <c r="L65" s="109">
        <f>SUM('prog-6'!L405)</f>
        <v>0</v>
      </c>
      <c r="M65" s="109">
        <f>SUM('prog-6'!M405)</f>
        <v>0</v>
      </c>
      <c r="N65" s="109">
        <f>SUM('prog-6'!N405)</f>
        <v>0</v>
      </c>
      <c r="O65" s="109">
        <f>SUM('prog-6'!O405)</f>
        <v>17600</v>
      </c>
      <c r="P65" s="109">
        <f>SUM('prog-6'!P405)</f>
        <v>0</v>
      </c>
    </row>
    <row r="66" spans="1:16" ht="13.5" customHeight="1" x14ac:dyDescent="0.25">
      <c r="A66" s="236" t="s">
        <v>223</v>
      </c>
      <c r="B66" s="242" t="s">
        <v>355</v>
      </c>
      <c r="C66" s="238">
        <f>SUM(C67:C68)</f>
        <v>286700</v>
      </c>
      <c r="D66" s="238">
        <f>SUM(D67:D68)</f>
        <v>173000</v>
      </c>
      <c r="E66" s="238">
        <f t="shared" ref="E66:P66" si="13">SUM(E67:E68)</f>
        <v>810900</v>
      </c>
      <c r="F66" s="238">
        <f t="shared" si="13"/>
        <v>772850</v>
      </c>
      <c r="G66" s="238">
        <f t="shared" si="13"/>
        <v>0</v>
      </c>
      <c r="H66" s="238">
        <f t="shared" si="13"/>
        <v>0</v>
      </c>
      <c r="I66" s="238">
        <f t="shared" si="13"/>
        <v>3100</v>
      </c>
      <c r="J66" s="238">
        <f t="shared" si="13"/>
        <v>0</v>
      </c>
      <c r="K66" s="238">
        <f t="shared" si="13"/>
        <v>0</v>
      </c>
      <c r="L66" s="238">
        <f t="shared" si="13"/>
        <v>0</v>
      </c>
      <c r="M66" s="238">
        <f t="shared" si="13"/>
        <v>1783.43</v>
      </c>
      <c r="N66" s="238">
        <f t="shared" si="13"/>
        <v>0</v>
      </c>
      <c r="O66" s="238">
        <f t="shared" si="13"/>
        <v>1102483.43</v>
      </c>
      <c r="P66" s="238">
        <f t="shared" si="13"/>
        <v>945850</v>
      </c>
    </row>
    <row r="67" spans="1:16" ht="13.5" customHeight="1" x14ac:dyDescent="0.25">
      <c r="A67" s="239"/>
      <c r="B67" s="244" t="s">
        <v>296</v>
      </c>
      <c r="C67" s="109">
        <f>SUM('prog-6'!C241)</f>
        <v>1300</v>
      </c>
      <c r="D67" s="109">
        <f>SUM('prog-6'!D241)</f>
        <v>0</v>
      </c>
      <c r="E67" s="109">
        <f>SUM('prog-6'!E241)</f>
        <v>13100</v>
      </c>
      <c r="F67" s="109">
        <f>SUM('prog-6'!F241)</f>
        <v>400</v>
      </c>
      <c r="G67" s="109">
        <f>SUM('prog-6'!G241)</f>
        <v>0</v>
      </c>
      <c r="H67" s="109">
        <f>SUM('prog-6'!H241)</f>
        <v>0</v>
      </c>
      <c r="I67" s="109">
        <f>SUM('prog-6'!I241)</f>
        <v>0</v>
      </c>
      <c r="J67" s="109">
        <f>SUM('prog-6'!J241)</f>
        <v>0</v>
      </c>
      <c r="K67" s="109">
        <f>SUM('prog-6'!K241)</f>
        <v>0</v>
      </c>
      <c r="L67" s="109">
        <f>SUM('prog-6'!L241)</f>
        <v>0</v>
      </c>
      <c r="M67" s="109">
        <f>SUM('prog-6'!M241)</f>
        <v>0</v>
      </c>
      <c r="N67" s="109">
        <f>SUM('prog-6'!N241)</f>
        <v>0</v>
      </c>
      <c r="O67" s="109">
        <f>SUM('prog-6'!O241)</f>
        <v>14400</v>
      </c>
      <c r="P67" s="109">
        <f>SUM('prog-6'!P241)</f>
        <v>400</v>
      </c>
    </row>
    <row r="68" spans="1:16" ht="13.5" customHeight="1" x14ac:dyDescent="0.25">
      <c r="A68" s="239"/>
      <c r="B68" s="244" t="s">
        <v>298</v>
      </c>
      <c r="C68" s="109">
        <f>SUM('prog-6'!C284)</f>
        <v>285400</v>
      </c>
      <c r="D68" s="109">
        <f>SUM('prog-6'!D284)</f>
        <v>173000</v>
      </c>
      <c r="E68" s="109">
        <f>SUM('prog-6'!E284)</f>
        <v>797800</v>
      </c>
      <c r="F68" s="109">
        <f>SUM('prog-6'!F284)</f>
        <v>772450</v>
      </c>
      <c r="G68" s="109">
        <f>SUM('prog-6'!G284)</f>
        <v>0</v>
      </c>
      <c r="H68" s="109">
        <f>SUM('prog-6'!H284)</f>
        <v>0</v>
      </c>
      <c r="I68" s="109">
        <f>SUM('prog-6'!I284)</f>
        <v>3100</v>
      </c>
      <c r="J68" s="109">
        <f>SUM('prog-6'!J284)</f>
        <v>0</v>
      </c>
      <c r="K68" s="109">
        <f>SUM('prog-6'!K284)</f>
        <v>0</v>
      </c>
      <c r="L68" s="109">
        <f>SUM('prog-6'!L284)</f>
        <v>0</v>
      </c>
      <c r="M68" s="109">
        <f>SUM('prog-6'!M284)</f>
        <v>1783.43</v>
      </c>
      <c r="N68" s="109">
        <f>SUM('prog-6'!N284)</f>
        <v>0</v>
      </c>
      <c r="O68" s="109">
        <f>SUM('prog-6'!O284)</f>
        <v>1088083.43</v>
      </c>
      <c r="P68" s="109">
        <f>SUM('prog-6'!P284)</f>
        <v>945450</v>
      </c>
    </row>
    <row r="69" spans="1:16" s="61" customFormat="1" ht="13.5" customHeight="1" x14ac:dyDescent="0.25">
      <c r="A69" s="241" t="s">
        <v>224</v>
      </c>
      <c r="B69" s="242" t="s">
        <v>353</v>
      </c>
      <c r="C69" s="238">
        <f>SUM(C70:C71)</f>
        <v>318900</v>
      </c>
      <c r="D69" s="238">
        <f t="shared" ref="D69:P69" si="14">SUM(D70:D71)</f>
        <v>205500</v>
      </c>
      <c r="E69" s="238">
        <f t="shared" si="14"/>
        <v>559600</v>
      </c>
      <c r="F69" s="238">
        <f t="shared" si="14"/>
        <v>512700</v>
      </c>
      <c r="G69" s="238">
        <f t="shared" si="14"/>
        <v>0</v>
      </c>
      <c r="H69" s="238">
        <f t="shared" si="14"/>
        <v>0</v>
      </c>
      <c r="I69" s="238">
        <f t="shared" si="14"/>
        <v>1400</v>
      </c>
      <c r="J69" s="238">
        <f t="shared" si="14"/>
        <v>0</v>
      </c>
      <c r="K69" s="238">
        <f t="shared" si="14"/>
        <v>0</v>
      </c>
      <c r="L69" s="238">
        <f t="shared" si="14"/>
        <v>0</v>
      </c>
      <c r="M69" s="238">
        <f t="shared" si="14"/>
        <v>0</v>
      </c>
      <c r="N69" s="238">
        <f t="shared" si="14"/>
        <v>0</v>
      </c>
      <c r="O69" s="238">
        <f t="shared" si="14"/>
        <v>879900</v>
      </c>
      <c r="P69" s="238">
        <f t="shared" si="14"/>
        <v>718200</v>
      </c>
    </row>
    <row r="70" spans="1:16" s="61" customFormat="1" ht="13.5" customHeight="1" x14ac:dyDescent="0.25">
      <c r="A70" s="243"/>
      <c r="B70" s="244" t="s">
        <v>296</v>
      </c>
      <c r="C70" s="109">
        <f>SUM('prog-6'!C242)</f>
        <v>5300</v>
      </c>
      <c r="D70" s="109">
        <f>SUM('prog-6'!D242)</f>
        <v>0</v>
      </c>
      <c r="E70" s="109">
        <f>SUM('prog-6'!E242)</f>
        <v>30600</v>
      </c>
      <c r="F70" s="109">
        <f>SUM('prog-6'!F242)</f>
        <v>900</v>
      </c>
      <c r="G70" s="109">
        <f>SUM('prog-6'!G242)</f>
        <v>0</v>
      </c>
      <c r="H70" s="109">
        <f>SUM('prog-6'!H242)</f>
        <v>0</v>
      </c>
      <c r="I70" s="109">
        <f>SUM('prog-6'!I242)</f>
        <v>0</v>
      </c>
      <c r="J70" s="109">
        <f>SUM('prog-6'!J242)</f>
        <v>0</v>
      </c>
      <c r="K70" s="109">
        <f>SUM('prog-6'!K242)</f>
        <v>0</v>
      </c>
      <c r="L70" s="109">
        <f>SUM('prog-6'!L242)</f>
        <v>0</v>
      </c>
      <c r="M70" s="109">
        <f>SUM('prog-6'!M242)</f>
        <v>0</v>
      </c>
      <c r="N70" s="109">
        <f>SUM('prog-6'!N242)</f>
        <v>0</v>
      </c>
      <c r="O70" s="109">
        <f>SUM('prog-6'!O242)</f>
        <v>35900</v>
      </c>
      <c r="P70" s="109">
        <f>SUM('prog-6'!P242)</f>
        <v>900</v>
      </c>
    </row>
    <row r="71" spans="1:16" s="61" customFormat="1" ht="13.5" customHeight="1" x14ac:dyDescent="0.25">
      <c r="A71" s="243"/>
      <c r="B71" s="244" t="s">
        <v>298</v>
      </c>
      <c r="C71" s="109">
        <f>SUM('prog-6'!C288)</f>
        <v>313600</v>
      </c>
      <c r="D71" s="109">
        <f>SUM('prog-6'!D288)</f>
        <v>205500</v>
      </c>
      <c r="E71" s="109">
        <f>SUM('prog-6'!E288)</f>
        <v>529000</v>
      </c>
      <c r="F71" s="109">
        <f>SUM('prog-6'!F288)</f>
        <v>511800</v>
      </c>
      <c r="G71" s="109">
        <f>SUM('prog-6'!G288)</f>
        <v>0</v>
      </c>
      <c r="H71" s="109">
        <f>SUM('prog-6'!H288)</f>
        <v>0</v>
      </c>
      <c r="I71" s="109">
        <f>SUM('prog-6'!I288)</f>
        <v>1400</v>
      </c>
      <c r="J71" s="109">
        <f>SUM('prog-6'!J288)</f>
        <v>0</v>
      </c>
      <c r="K71" s="109">
        <f>SUM('prog-6'!K288)</f>
        <v>0</v>
      </c>
      <c r="L71" s="109">
        <f>SUM('prog-6'!L288)</f>
        <v>0</v>
      </c>
      <c r="M71" s="109">
        <f>SUM('prog-6'!M288)</f>
        <v>0</v>
      </c>
      <c r="N71" s="109">
        <f>SUM('prog-6'!N288)</f>
        <v>0</v>
      </c>
      <c r="O71" s="109">
        <f>SUM('prog-6'!O288)</f>
        <v>844000</v>
      </c>
      <c r="P71" s="109">
        <f>SUM('prog-6'!P288)</f>
        <v>717300</v>
      </c>
    </row>
    <row r="72" spans="1:16" s="61" customFormat="1" ht="13.5" customHeight="1" x14ac:dyDescent="0.25">
      <c r="A72" s="236" t="s">
        <v>225</v>
      </c>
      <c r="B72" s="242" t="s">
        <v>226</v>
      </c>
      <c r="C72" s="238">
        <f>SUM(C73:C74)</f>
        <v>906300</v>
      </c>
      <c r="D72" s="238">
        <f t="shared" ref="D72:P72" si="15">SUM(D73:D74)</f>
        <v>698900</v>
      </c>
      <c r="E72" s="238">
        <f t="shared" si="15"/>
        <v>1355000</v>
      </c>
      <c r="F72" s="238">
        <f t="shared" si="15"/>
        <v>1250580</v>
      </c>
      <c r="G72" s="238">
        <f t="shared" si="15"/>
        <v>0</v>
      </c>
      <c r="H72" s="238">
        <f t="shared" si="15"/>
        <v>0</v>
      </c>
      <c r="I72" s="238">
        <f t="shared" si="15"/>
        <v>33900</v>
      </c>
      <c r="J72" s="238">
        <f t="shared" si="15"/>
        <v>0</v>
      </c>
      <c r="K72" s="238">
        <f t="shared" si="15"/>
        <v>0</v>
      </c>
      <c r="L72" s="238">
        <f t="shared" si="15"/>
        <v>0</v>
      </c>
      <c r="M72" s="238">
        <f t="shared" si="15"/>
        <v>1365.55</v>
      </c>
      <c r="N72" s="238">
        <f t="shared" si="15"/>
        <v>0</v>
      </c>
      <c r="O72" s="238">
        <f t="shared" si="15"/>
        <v>2296565.5499999998</v>
      </c>
      <c r="P72" s="238">
        <f t="shared" si="15"/>
        <v>1949480</v>
      </c>
    </row>
    <row r="73" spans="1:16" s="61" customFormat="1" ht="13.5" customHeight="1" x14ac:dyDescent="0.25">
      <c r="A73" s="239"/>
      <c r="B73" s="244" t="s">
        <v>296</v>
      </c>
      <c r="C73" s="109">
        <f>SUM('prog-6'!C243)</f>
        <v>7800</v>
      </c>
      <c r="D73" s="109">
        <f>SUM('prog-6'!D243)</f>
        <v>0</v>
      </c>
      <c r="E73" s="109">
        <f>SUM('prog-6'!E243)</f>
        <v>63600</v>
      </c>
      <c r="F73" s="109">
        <f>SUM('prog-6'!F243)</f>
        <v>2000</v>
      </c>
      <c r="G73" s="109">
        <f>SUM('prog-6'!G243)</f>
        <v>0</v>
      </c>
      <c r="H73" s="109">
        <f>SUM('prog-6'!H243)</f>
        <v>0</v>
      </c>
      <c r="I73" s="109">
        <f>SUM('prog-6'!I243)</f>
        <v>0</v>
      </c>
      <c r="J73" s="109">
        <f>SUM('prog-6'!J243)</f>
        <v>0</v>
      </c>
      <c r="K73" s="109">
        <f>SUM('prog-6'!K243)</f>
        <v>0</v>
      </c>
      <c r="L73" s="109">
        <f>SUM('prog-6'!L243)</f>
        <v>0</v>
      </c>
      <c r="M73" s="109">
        <f>SUM('prog-6'!M243)</f>
        <v>0</v>
      </c>
      <c r="N73" s="109">
        <f>SUM('prog-6'!N243)</f>
        <v>0</v>
      </c>
      <c r="O73" s="109">
        <f>SUM('prog-6'!O243)</f>
        <v>71400</v>
      </c>
      <c r="P73" s="109">
        <f>SUM('prog-6'!P243)</f>
        <v>2000</v>
      </c>
    </row>
    <row r="74" spans="1:16" s="61" customFormat="1" ht="13.5" customHeight="1" x14ac:dyDescent="0.25">
      <c r="A74" s="239"/>
      <c r="B74" s="244" t="s">
        <v>298</v>
      </c>
      <c r="C74" s="109">
        <f>SUM('prog-6'!C292)</f>
        <v>898500</v>
      </c>
      <c r="D74" s="109">
        <f>SUM('prog-6'!D292)</f>
        <v>698900</v>
      </c>
      <c r="E74" s="109">
        <f>SUM('prog-6'!E292)</f>
        <v>1291400</v>
      </c>
      <c r="F74" s="109">
        <f>SUM('prog-6'!F292)</f>
        <v>1248580</v>
      </c>
      <c r="G74" s="109">
        <f>SUM('prog-6'!G292)</f>
        <v>0</v>
      </c>
      <c r="H74" s="109">
        <f>SUM('prog-6'!H292)</f>
        <v>0</v>
      </c>
      <c r="I74" s="109">
        <f>SUM('prog-6'!I292)</f>
        <v>33900</v>
      </c>
      <c r="J74" s="109">
        <f>SUM('prog-6'!J292)</f>
        <v>0</v>
      </c>
      <c r="K74" s="109">
        <f>SUM('prog-6'!K292)</f>
        <v>0</v>
      </c>
      <c r="L74" s="109">
        <f>SUM('prog-6'!L292)</f>
        <v>0</v>
      </c>
      <c r="M74" s="109">
        <f>SUM('prog-6'!M292)</f>
        <v>1365.55</v>
      </c>
      <c r="N74" s="109">
        <f>SUM('prog-6'!N292)</f>
        <v>0</v>
      </c>
      <c r="O74" s="109">
        <f>SUM('prog-6'!O292)</f>
        <v>2225165.5499999998</v>
      </c>
      <c r="P74" s="109">
        <f>SUM('prog-6'!P292)</f>
        <v>1947480</v>
      </c>
    </row>
    <row r="75" spans="1:16" s="61" customFormat="1" ht="13.5" customHeight="1" x14ac:dyDescent="0.25">
      <c r="A75" s="236" t="s">
        <v>227</v>
      </c>
      <c r="B75" s="242" t="s">
        <v>228</v>
      </c>
      <c r="C75" s="238">
        <f>SUM(C76:C77)</f>
        <v>693100</v>
      </c>
      <c r="D75" s="238">
        <f t="shared" ref="D75:P75" si="16">SUM(D76:D77)</f>
        <v>466200</v>
      </c>
      <c r="E75" s="238">
        <f t="shared" si="16"/>
        <v>1071600</v>
      </c>
      <c r="F75" s="238">
        <f t="shared" si="16"/>
        <v>957560</v>
      </c>
      <c r="G75" s="238">
        <f t="shared" si="16"/>
        <v>0</v>
      </c>
      <c r="H75" s="238">
        <f t="shared" si="16"/>
        <v>0</v>
      </c>
      <c r="I75" s="238">
        <f t="shared" si="16"/>
        <v>28000</v>
      </c>
      <c r="J75" s="238">
        <f t="shared" si="16"/>
        <v>0</v>
      </c>
      <c r="K75" s="238">
        <f t="shared" si="16"/>
        <v>0</v>
      </c>
      <c r="L75" s="238">
        <f t="shared" si="16"/>
        <v>0</v>
      </c>
      <c r="M75" s="238">
        <f t="shared" si="16"/>
        <v>283.85000000000002</v>
      </c>
      <c r="N75" s="238">
        <f t="shared" si="16"/>
        <v>0</v>
      </c>
      <c r="O75" s="238">
        <f t="shared" si="16"/>
        <v>1792983.85</v>
      </c>
      <c r="P75" s="238">
        <f t="shared" si="16"/>
        <v>1423760</v>
      </c>
    </row>
    <row r="76" spans="1:16" s="61" customFormat="1" ht="13.5" customHeight="1" x14ac:dyDescent="0.25">
      <c r="A76" s="239"/>
      <c r="B76" s="244" t="s">
        <v>296</v>
      </c>
      <c r="C76" s="109">
        <f>SUM('prog-6'!C244)</f>
        <v>5900</v>
      </c>
      <c r="D76" s="109">
        <f>SUM('prog-6'!D244)</f>
        <v>0</v>
      </c>
      <c r="E76" s="109">
        <f>SUM('prog-6'!E244)</f>
        <v>61600</v>
      </c>
      <c r="F76" s="109">
        <f>SUM('prog-6'!F244)</f>
        <v>1900</v>
      </c>
      <c r="G76" s="109">
        <f>SUM('prog-6'!G244)</f>
        <v>0</v>
      </c>
      <c r="H76" s="109">
        <f>SUM('prog-6'!H244)</f>
        <v>0</v>
      </c>
      <c r="I76" s="109">
        <f>SUM('prog-6'!I244)</f>
        <v>0</v>
      </c>
      <c r="J76" s="109">
        <f>SUM('prog-6'!J244)</f>
        <v>0</v>
      </c>
      <c r="K76" s="109">
        <f>SUM('prog-6'!K244)</f>
        <v>0</v>
      </c>
      <c r="L76" s="109">
        <f>SUM('prog-6'!L244)</f>
        <v>0</v>
      </c>
      <c r="M76" s="109">
        <f>SUM('prog-6'!M244)</f>
        <v>0</v>
      </c>
      <c r="N76" s="109">
        <f>SUM('prog-6'!N244)</f>
        <v>0</v>
      </c>
      <c r="O76" s="109">
        <f>SUM('prog-6'!O244)</f>
        <v>67500</v>
      </c>
      <c r="P76" s="109">
        <f>SUM('prog-6'!P244)</f>
        <v>1900</v>
      </c>
    </row>
    <row r="77" spans="1:16" s="61" customFormat="1" ht="13.5" customHeight="1" x14ac:dyDescent="0.25">
      <c r="A77" s="239"/>
      <c r="B77" s="244" t="s">
        <v>298</v>
      </c>
      <c r="C77" s="109">
        <f>SUM('prog-6'!C296)</f>
        <v>687200</v>
      </c>
      <c r="D77" s="109">
        <f>SUM('prog-6'!D296)</f>
        <v>466200</v>
      </c>
      <c r="E77" s="109">
        <f>SUM('prog-6'!E296)</f>
        <v>1010000</v>
      </c>
      <c r="F77" s="109">
        <f>SUM('prog-6'!F296)</f>
        <v>955660</v>
      </c>
      <c r="G77" s="109">
        <f>SUM('prog-6'!G296)</f>
        <v>0</v>
      </c>
      <c r="H77" s="109">
        <f>SUM('prog-6'!H296)</f>
        <v>0</v>
      </c>
      <c r="I77" s="109">
        <f>SUM('prog-6'!I296)</f>
        <v>28000</v>
      </c>
      <c r="J77" s="109">
        <f>SUM('prog-6'!J296)</f>
        <v>0</v>
      </c>
      <c r="K77" s="109">
        <f>SUM('prog-6'!K296)</f>
        <v>0</v>
      </c>
      <c r="L77" s="109">
        <f>SUM('prog-6'!L296)</f>
        <v>0</v>
      </c>
      <c r="M77" s="109">
        <f>SUM('prog-6'!M296)</f>
        <v>283.85000000000002</v>
      </c>
      <c r="N77" s="109">
        <f>SUM('prog-6'!N296)</f>
        <v>0</v>
      </c>
      <c r="O77" s="109">
        <f>SUM('prog-6'!O296)</f>
        <v>1725483.85</v>
      </c>
      <c r="P77" s="109">
        <f>SUM('prog-6'!P296)</f>
        <v>1421860</v>
      </c>
    </row>
    <row r="78" spans="1:16" s="61" customFormat="1" ht="24.75" customHeight="1" x14ac:dyDescent="0.25">
      <c r="A78" s="241" t="s">
        <v>229</v>
      </c>
      <c r="B78" s="242" t="s">
        <v>230</v>
      </c>
      <c r="C78" s="238">
        <f>SUM(C79:C80)</f>
        <v>547000</v>
      </c>
      <c r="D78" s="238">
        <f t="shared" ref="D78:P78" si="17">SUM(D79:D80)</f>
        <v>278700</v>
      </c>
      <c r="E78" s="238">
        <f t="shared" si="17"/>
        <v>774500</v>
      </c>
      <c r="F78" s="238">
        <f t="shared" si="17"/>
        <v>705760</v>
      </c>
      <c r="G78" s="238">
        <f t="shared" si="17"/>
        <v>0</v>
      </c>
      <c r="H78" s="238">
        <f t="shared" si="17"/>
        <v>0</v>
      </c>
      <c r="I78" s="238">
        <f t="shared" si="17"/>
        <v>18000</v>
      </c>
      <c r="J78" s="238">
        <f t="shared" si="17"/>
        <v>0</v>
      </c>
      <c r="K78" s="238">
        <f t="shared" si="17"/>
        <v>0</v>
      </c>
      <c r="L78" s="238">
        <f t="shared" si="17"/>
        <v>0</v>
      </c>
      <c r="M78" s="238">
        <f t="shared" si="17"/>
        <v>119.66</v>
      </c>
      <c r="N78" s="238">
        <f t="shared" si="17"/>
        <v>0</v>
      </c>
      <c r="O78" s="238">
        <f t="shared" si="17"/>
        <v>1339619.6599999999</v>
      </c>
      <c r="P78" s="238">
        <f t="shared" si="17"/>
        <v>984460</v>
      </c>
    </row>
    <row r="79" spans="1:16" s="61" customFormat="1" ht="13.5" customHeight="1" x14ac:dyDescent="0.25">
      <c r="A79" s="243"/>
      <c r="B79" s="244" t="s">
        <v>296</v>
      </c>
      <c r="C79" s="109">
        <f>SUM('prog-6'!C245)</f>
        <v>4200</v>
      </c>
      <c r="D79" s="109">
        <f>SUM('prog-6'!D245)</f>
        <v>0</v>
      </c>
      <c r="E79" s="109">
        <f>SUM('prog-6'!E245)</f>
        <v>44200</v>
      </c>
      <c r="F79" s="109">
        <f>SUM('prog-6'!F245)</f>
        <v>1300</v>
      </c>
      <c r="G79" s="109">
        <f>SUM('prog-6'!G245)</f>
        <v>0</v>
      </c>
      <c r="H79" s="109">
        <f>SUM('prog-6'!H245)</f>
        <v>0</v>
      </c>
      <c r="I79" s="109">
        <f>SUM('prog-6'!I245)</f>
        <v>0</v>
      </c>
      <c r="J79" s="109">
        <f>SUM('prog-6'!J245)</f>
        <v>0</v>
      </c>
      <c r="K79" s="109">
        <f>SUM('prog-6'!K245)</f>
        <v>0</v>
      </c>
      <c r="L79" s="109">
        <f>SUM('prog-6'!L245)</f>
        <v>0</v>
      </c>
      <c r="M79" s="109">
        <f>SUM('prog-6'!M245)</f>
        <v>0</v>
      </c>
      <c r="N79" s="109">
        <f>SUM('prog-6'!N245)</f>
        <v>0</v>
      </c>
      <c r="O79" s="109">
        <f>SUM('prog-6'!O245)</f>
        <v>48400</v>
      </c>
      <c r="P79" s="109">
        <f>SUM('prog-6'!P245)</f>
        <v>1300</v>
      </c>
    </row>
    <row r="80" spans="1:16" s="61" customFormat="1" ht="13.5" customHeight="1" x14ac:dyDescent="0.25">
      <c r="A80" s="243"/>
      <c r="B80" s="244" t="s">
        <v>298</v>
      </c>
      <c r="C80" s="109">
        <f>SUM('prog-6'!C300)</f>
        <v>542800</v>
      </c>
      <c r="D80" s="109">
        <f>SUM('prog-6'!D300)</f>
        <v>278700</v>
      </c>
      <c r="E80" s="109">
        <f>SUM('prog-6'!E300)</f>
        <v>730300</v>
      </c>
      <c r="F80" s="109">
        <f>SUM('prog-6'!F300)</f>
        <v>704460</v>
      </c>
      <c r="G80" s="109">
        <f>SUM('prog-6'!G300)</f>
        <v>0</v>
      </c>
      <c r="H80" s="109">
        <f>SUM('prog-6'!H300)</f>
        <v>0</v>
      </c>
      <c r="I80" s="109">
        <f>SUM('prog-6'!I300)</f>
        <v>18000</v>
      </c>
      <c r="J80" s="109">
        <f>SUM('prog-6'!J300)</f>
        <v>0</v>
      </c>
      <c r="K80" s="109">
        <f>SUM('prog-6'!K300)</f>
        <v>0</v>
      </c>
      <c r="L80" s="109">
        <f>SUM('prog-6'!L300)</f>
        <v>0</v>
      </c>
      <c r="M80" s="109">
        <f>SUM('prog-6'!M300)</f>
        <v>119.66</v>
      </c>
      <c r="N80" s="109">
        <f>SUM('prog-6'!N300)</f>
        <v>0</v>
      </c>
      <c r="O80" s="109">
        <f>SUM('prog-6'!O300)</f>
        <v>1291219.6599999999</v>
      </c>
      <c r="P80" s="109">
        <f>SUM('prog-6'!P300)</f>
        <v>983160</v>
      </c>
    </row>
    <row r="81" spans="1:16" s="61" customFormat="1" ht="13.5" customHeight="1" x14ac:dyDescent="0.25">
      <c r="A81" s="236" t="s">
        <v>231</v>
      </c>
      <c r="B81" s="242" t="s">
        <v>331</v>
      </c>
      <c r="C81" s="238">
        <f>SUM(C82:C83)</f>
        <v>207200</v>
      </c>
      <c r="D81" s="238">
        <f t="shared" ref="D81:P81" si="18">SUM(D82:D83)</f>
        <v>127600</v>
      </c>
      <c r="E81" s="238">
        <f t="shared" si="18"/>
        <v>527000</v>
      </c>
      <c r="F81" s="238">
        <f t="shared" si="18"/>
        <v>490730</v>
      </c>
      <c r="G81" s="238">
        <f t="shared" si="18"/>
        <v>0</v>
      </c>
      <c r="H81" s="238">
        <f t="shared" si="18"/>
        <v>0</v>
      </c>
      <c r="I81" s="238">
        <f t="shared" si="18"/>
        <v>3000</v>
      </c>
      <c r="J81" s="238">
        <f t="shared" si="18"/>
        <v>0</v>
      </c>
      <c r="K81" s="238">
        <f t="shared" si="18"/>
        <v>0</v>
      </c>
      <c r="L81" s="238">
        <f t="shared" si="18"/>
        <v>0</v>
      </c>
      <c r="M81" s="238">
        <f t="shared" si="18"/>
        <v>998.12</v>
      </c>
      <c r="N81" s="238">
        <f t="shared" si="18"/>
        <v>0</v>
      </c>
      <c r="O81" s="238">
        <f t="shared" si="18"/>
        <v>738198.12</v>
      </c>
      <c r="P81" s="238">
        <f t="shared" si="18"/>
        <v>618330</v>
      </c>
    </row>
    <row r="82" spans="1:16" s="61" customFormat="1" ht="13.5" customHeight="1" x14ac:dyDescent="0.25">
      <c r="A82" s="239"/>
      <c r="B82" s="244" t="s">
        <v>296</v>
      </c>
      <c r="C82" s="109">
        <f>SUM('prog-6'!C246)</f>
        <v>2100</v>
      </c>
      <c r="D82" s="109">
        <f>SUM('prog-6'!D246)</f>
        <v>0</v>
      </c>
      <c r="E82" s="109">
        <f>SUM('prog-6'!E246)</f>
        <v>22300</v>
      </c>
      <c r="F82" s="109">
        <f>SUM('prog-6'!F246)</f>
        <v>700</v>
      </c>
      <c r="G82" s="109">
        <f>SUM('prog-6'!G246)</f>
        <v>0</v>
      </c>
      <c r="H82" s="109">
        <f>SUM('prog-6'!H246)</f>
        <v>0</v>
      </c>
      <c r="I82" s="109">
        <f>SUM('prog-6'!I246)</f>
        <v>0</v>
      </c>
      <c r="J82" s="109">
        <f>SUM('prog-6'!J246)</f>
        <v>0</v>
      </c>
      <c r="K82" s="109">
        <f>SUM('prog-6'!K246)</f>
        <v>0</v>
      </c>
      <c r="L82" s="109">
        <f>SUM('prog-6'!L246)</f>
        <v>0</v>
      </c>
      <c r="M82" s="109">
        <f>SUM('prog-6'!M246)</f>
        <v>0</v>
      </c>
      <c r="N82" s="109">
        <f>SUM('prog-6'!N246)</f>
        <v>0</v>
      </c>
      <c r="O82" s="109">
        <f>SUM('prog-6'!O246)</f>
        <v>24400</v>
      </c>
      <c r="P82" s="109">
        <f>SUM('prog-6'!P246)</f>
        <v>700</v>
      </c>
    </row>
    <row r="83" spans="1:16" s="61" customFormat="1" ht="13.5" customHeight="1" x14ac:dyDescent="0.25">
      <c r="A83" s="239"/>
      <c r="B83" s="244" t="s">
        <v>298</v>
      </c>
      <c r="C83" s="109">
        <f>SUM('prog-6'!C304)</f>
        <v>205100</v>
      </c>
      <c r="D83" s="109">
        <f>SUM('prog-6'!D304)</f>
        <v>127600</v>
      </c>
      <c r="E83" s="109">
        <f>SUM('prog-6'!E304)</f>
        <v>504700</v>
      </c>
      <c r="F83" s="109">
        <f>SUM('prog-6'!F304)</f>
        <v>490030</v>
      </c>
      <c r="G83" s="109">
        <f>SUM('prog-6'!G304)</f>
        <v>0</v>
      </c>
      <c r="H83" s="109">
        <f>SUM('prog-6'!H304)</f>
        <v>0</v>
      </c>
      <c r="I83" s="109">
        <f>SUM('prog-6'!I304)</f>
        <v>3000</v>
      </c>
      <c r="J83" s="109">
        <f>SUM('prog-6'!J304)</f>
        <v>0</v>
      </c>
      <c r="K83" s="109">
        <f>SUM('prog-6'!K304)</f>
        <v>0</v>
      </c>
      <c r="L83" s="109">
        <f>SUM('prog-6'!L304)</f>
        <v>0</v>
      </c>
      <c r="M83" s="109">
        <f>SUM('prog-6'!M304)</f>
        <v>998.12</v>
      </c>
      <c r="N83" s="109">
        <f>SUM('prog-6'!N304)</f>
        <v>0</v>
      </c>
      <c r="O83" s="109">
        <f>SUM('prog-6'!O304)</f>
        <v>713798.12</v>
      </c>
      <c r="P83" s="109">
        <f>SUM('prog-6'!P304)</f>
        <v>617630</v>
      </c>
    </row>
    <row r="84" spans="1:16" s="61" customFormat="1" ht="13.5" customHeight="1" x14ac:dyDescent="0.25">
      <c r="A84" s="241" t="s">
        <v>232</v>
      </c>
      <c r="B84" s="242" t="s">
        <v>426</v>
      </c>
      <c r="C84" s="238">
        <f>SUM(C85)</f>
        <v>176900</v>
      </c>
      <c r="D84" s="238">
        <f t="shared" ref="D84:P84" si="19">SUM(D85)</f>
        <v>164500</v>
      </c>
      <c r="E84" s="238">
        <f t="shared" si="19"/>
        <v>131300</v>
      </c>
      <c r="F84" s="238">
        <f t="shared" si="19"/>
        <v>128400</v>
      </c>
      <c r="G84" s="238">
        <f t="shared" si="19"/>
        <v>0</v>
      </c>
      <c r="H84" s="238">
        <f t="shared" si="19"/>
        <v>0</v>
      </c>
      <c r="I84" s="238">
        <f t="shared" si="19"/>
        <v>4000</v>
      </c>
      <c r="J84" s="238">
        <f t="shared" si="19"/>
        <v>0</v>
      </c>
      <c r="K84" s="238">
        <f t="shared" si="19"/>
        <v>0</v>
      </c>
      <c r="L84" s="238">
        <f t="shared" si="19"/>
        <v>0</v>
      </c>
      <c r="M84" s="238">
        <f t="shared" si="19"/>
        <v>0</v>
      </c>
      <c r="N84" s="238">
        <f t="shared" si="19"/>
        <v>0</v>
      </c>
      <c r="O84" s="238">
        <f t="shared" si="19"/>
        <v>312200</v>
      </c>
      <c r="P84" s="238">
        <f t="shared" si="19"/>
        <v>292900</v>
      </c>
    </row>
    <row r="85" spans="1:16" s="61" customFormat="1" ht="13.5" customHeight="1" x14ac:dyDescent="0.25">
      <c r="A85" s="243"/>
      <c r="B85" s="244" t="s">
        <v>298</v>
      </c>
      <c r="C85" s="109">
        <f>SUM('prog-6'!C308)</f>
        <v>176900</v>
      </c>
      <c r="D85" s="109">
        <f>SUM('prog-6'!D308)</f>
        <v>164500</v>
      </c>
      <c r="E85" s="109">
        <f>SUM('prog-6'!E308)</f>
        <v>131300</v>
      </c>
      <c r="F85" s="109">
        <f>SUM('prog-6'!F308)</f>
        <v>128400</v>
      </c>
      <c r="G85" s="109">
        <f>SUM('prog-6'!G308)</f>
        <v>0</v>
      </c>
      <c r="H85" s="109">
        <f>SUM('prog-6'!H308)</f>
        <v>0</v>
      </c>
      <c r="I85" s="109">
        <f>SUM('prog-6'!I308)</f>
        <v>4000</v>
      </c>
      <c r="J85" s="109">
        <f>SUM('prog-6'!J308)</f>
        <v>0</v>
      </c>
      <c r="K85" s="109">
        <f>SUM('prog-6'!K308)</f>
        <v>0</v>
      </c>
      <c r="L85" s="109">
        <f>SUM('prog-6'!L308)</f>
        <v>0</v>
      </c>
      <c r="M85" s="109">
        <f>SUM('prog-6'!M308)</f>
        <v>0</v>
      </c>
      <c r="N85" s="109">
        <f>SUM('prog-6'!N308)</f>
        <v>0</v>
      </c>
      <c r="O85" s="109">
        <f>SUM('prog-6'!O308)</f>
        <v>312200</v>
      </c>
      <c r="P85" s="109">
        <f>SUM('prog-6'!P308)</f>
        <v>292900</v>
      </c>
    </row>
    <row r="86" spans="1:16" ht="13.5" customHeight="1" x14ac:dyDescent="0.25">
      <c r="A86" s="236" t="s">
        <v>233</v>
      </c>
      <c r="B86" s="242" t="s">
        <v>235</v>
      </c>
      <c r="C86" s="238">
        <f>SUM(C87:C88)</f>
        <v>619200</v>
      </c>
      <c r="D86" s="238">
        <f t="shared" ref="D86:P86" si="20">SUM(D87:D88)</f>
        <v>389000</v>
      </c>
      <c r="E86" s="238">
        <f t="shared" si="20"/>
        <v>1263700</v>
      </c>
      <c r="F86" s="238">
        <f t="shared" si="20"/>
        <v>1132460</v>
      </c>
      <c r="G86" s="238">
        <f t="shared" si="20"/>
        <v>0</v>
      </c>
      <c r="H86" s="238">
        <f t="shared" si="20"/>
        <v>0</v>
      </c>
      <c r="I86" s="238">
        <f t="shared" si="20"/>
        <v>9000</v>
      </c>
      <c r="J86" s="238">
        <f t="shared" si="20"/>
        <v>0</v>
      </c>
      <c r="K86" s="238">
        <f t="shared" si="20"/>
        <v>0</v>
      </c>
      <c r="L86" s="238">
        <f t="shared" si="20"/>
        <v>0</v>
      </c>
      <c r="M86" s="238">
        <f t="shared" si="20"/>
        <v>0</v>
      </c>
      <c r="N86" s="238">
        <f t="shared" si="20"/>
        <v>0</v>
      </c>
      <c r="O86" s="238">
        <f t="shared" si="20"/>
        <v>1891900</v>
      </c>
      <c r="P86" s="238">
        <f t="shared" si="20"/>
        <v>1521460</v>
      </c>
    </row>
    <row r="87" spans="1:16" ht="13.5" customHeight="1" x14ac:dyDescent="0.25">
      <c r="A87" s="239"/>
      <c r="B87" s="244" t="s">
        <v>296</v>
      </c>
      <c r="C87" s="109">
        <f>SUM('prog-6'!C247)</f>
        <v>7700</v>
      </c>
      <c r="D87" s="109">
        <f>SUM('prog-6'!D247)</f>
        <v>0</v>
      </c>
      <c r="E87" s="109">
        <f>SUM('prog-6'!E247)</f>
        <v>89100</v>
      </c>
      <c r="F87" s="109">
        <f>SUM('prog-6'!F247)</f>
        <v>2700</v>
      </c>
      <c r="G87" s="109">
        <f>SUM('prog-6'!G247)</f>
        <v>0</v>
      </c>
      <c r="H87" s="109">
        <f>SUM('prog-6'!H247)</f>
        <v>0</v>
      </c>
      <c r="I87" s="109">
        <f>SUM('prog-6'!I247)</f>
        <v>0</v>
      </c>
      <c r="J87" s="109">
        <f>SUM('prog-6'!J247)</f>
        <v>0</v>
      </c>
      <c r="K87" s="109">
        <f>SUM('prog-6'!K247)</f>
        <v>0</v>
      </c>
      <c r="L87" s="109">
        <f>SUM('prog-6'!L247)</f>
        <v>0</v>
      </c>
      <c r="M87" s="109">
        <f>SUM('prog-6'!M247)</f>
        <v>0</v>
      </c>
      <c r="N87" s="109">
        <f>SUM('prog-6'!N247)</f>
        <v>0</v>
      </c>
      <c r="O87" s="109">
        <f>SUM('prog-6'!O247)</f>
        <v>96800</v>
      </c>
      <c r="P87" s="109">
        <f>SUM('prog-6'!P247)</f>
        <v>2700</v>
      </c>
    </row>
    <row r="88" spans="1:16" ht="13.5" customHeight="1" x14ac:dyDescent="0.25">
      <c r="A88" s="239"/>
      <c r="B88" s="244" t="s">
        <v>298</v>
      </c>
      <c r="C88" s="109">
        <f>SUM('prog-6'!C312)</f>
        <v>611500</v>
      </c>
      <c r="D88" s="109">
        <f>SUM('prog-6'!D312)</f>
        <v>389000</v>
      </c>
      <c r="E88" s="109">
        <f>SUM('prog-6'!E312)</f>
        <v>1174600</v>
      </c>
      <c r="F88" s="109">
        <f>SUM('prog-6'!F312)</f>
        <v>1129760</v>
      </c>
      <c r="G88" s="109">
        <f>SUM('prog-6'!G312)</f>
        <v>0</v>
      </c>
      <c r="H88" s="109">
        <f>SUM('prog-6'!H312)</f>
        <v>0</v>
      </c>
      <c r="I88" s="109">
        <f>SUM('prog-6'!I312)</f>
        <v>9000</v>
      </c>
      <c r="J88" s="109">
        <f>SUM('prog-6'!J312)</f>
        <v>0</v>
      </c>
      <c r="K88" s="109">
        <f>SUM('prog-6'!K312)</f>
        <v>0</v>
      </c>
      <c r="L88" s="109">
        <f>SUM('prog-6'!L312)</f>
        <v>0</v>
      </c>
      <c r="M88" s="109">
        <f>SUM('prog-6'!M312)</f>
        <v>0</v>
      </c>
      <c r="N88" s="109">
        <f>SUM('prog-6'!N312)</f>
        <v>0</v>
      </c>
      <c r="O88" s="109">
        <f>SUM('prog-6'!O312)</f>
        <v>1795100</v>
      </c>
      <c r="P88" s="109">
        <f>SUM('prog-6'!P312)</f>
        <v>1518760</v>
      </c>
    </row>
    <row r="89" spans="1:16" ht="13.5" customHeight="1" x14ac:dyDescent="0.25">
      <c r="A89" s="236" t="s">
        <v>234</v>
      </c>
      <c r="B89" s="242" t="s">
        <v>237</v>
      </c>
      <c r="C89" s="238">
        <f>SUM(C90:C91)</f>
        <v>382700</v>
      </c>
      <c r="D89" s="238">
        <f t="shared" ref="D89:P89" si="21">SUM(D90:D91)</f>
        <v>263800</v>
      </c>
      <c r="E89" s="238">
        <f t="shared" si="21"/>
        <v>1018200</v>
      </c>
      <c r="F89" s="238">
        <f t="shared" si="21"/>
        <v>918300</v>
      </c>
      <c r="G89" s="238">
        <f t="shared" si="21"/>
        <v>0</v>
      </c>
      <c r="H89" s="238">
        <f t="shared" si="21"/>
        <v>0</v>
      </c>
      <c r="I89" s="238">
        <f t="shared" si="21"/>
        <v>8700</v>
      </c>
      <c r="J89" s="238">
        <f t="shared" si="21"/>
        <v>0</v>
      </c>
      <c r="K89" s="238">
        <f t="shared" si="21"/>
        <v>0</v>
      </c>
      <c r="L89" s="238">
        <f t="shared" si="21"/>
        <v>0</v>
      </c>
      <c r="M89" s="238">
        <f t="shared" si="21"/>
        <v>32.4</v>
      </c>
      <c r="N89" s="238">
        <f t="shared" si="21"/>
        <v>0</v>
      </c>
      <c r="O89" s="238">
        <f t="shared" si="21"/>
        <v>1409632.4</v>
      </c>
      <c r="P89" s="238">
        <f t="shared" si="21"/>
        <v>1182100</v>
      </c>
    </row>
    <row r="90" spans="1:16" ht="13.5" customHeight="1" x14ac:dyDescent="0.25">
      <c r="A90" s="239"/>
      <c r="B90" s="244" t="s">
        <v>296</v>
      </c>
      <c r="C90" s="109">
        <f>SUM('prog-6'!C248)</f>
        <v>5000</v>
      </c>
      <c r="D90" s="109">
        <f>SUM('prog-6'!D248)</f>
        <v>0</v>
      </c>
      <c r="E90" s="109">
        <f>SUM('prog-6'!E248)</f>
        <v>64500</v>
      </c>
      <c r="F90" s="109">
        <f>SUM('prog-6'!F248)</f>
        <v>2000</v>
      </c>
      <c r="G90" s="109">
        <f>SUM('prog-6'!G248)</f>
        <v>0</v>
      </c>
      <c r="H90" s="109">
        <f>SUM('prog-6'!H248)</f>
        <v>0</v>
      </c>
      <c r="I90" s="109">
        <f>SUM('prog-6'!I248)</f>
        <v>0</v>
      </c>
      <c r="J90" s="109">
        <f>SUM('prog-6'!J248)</f>
        <v>0</v>
      </c>
      <c r="K90" s="109">
        <f>SUM('prog-6'!K248)</f>
        <v>0</v>
      </c>
      <c r="L90" s="109">
        <f>SUM('prog-6'!L248)</f>
        <v>0</v>
      </c>
      <c r="M90" s="109">
        <f>SUM('prog-6'!M248)</f>
        <v>0</v>
      </c>
      <c r="N90" s="109">
        <f>SUM('prog-6'!N248)</f>
        <v>0</v>
      </c>
      <c r="O90" s="109">
        <f>SUM('prog-6'!O248)</f>
        <v>69500</v>
      </c>
      <c r="P90" s="109">
        <f>SUM('prog-6'!P248)</f>
        <v>2000</v>
      </c>
    </row>
    <row r="91" spans="1:16" ht="13.5" customHeight="1" x14ac:dyDescent="0.25">
      <c r="A91" s="239"/>
      <c r="B91" s="244" t="s">
        <v>298</v>
      </c>
      <c r="C91" s="109">
        <f>SUM('prog-6'!C316)</f>
        <v>377700</v>
      </c>
      <c r="D91" s="109">
        <f>SUM('prog-6'!D316)</f>
        <v>263800</v>
      </c>
      <c r="E91" s="109">
        <f>SUM('prog-6'!E316)</f>
        <v>953700</v>
      </c>
      <c r="F91" s="109">
        <f>SUM('prog-6'!F316)</f>
        <v>916300</v>
      </c>
      <c r="G91" s="109">
        <f>SUM('prog-6'!G316)</f>
        <v>0</v>
      </c>
      <c r="H91" s="109">
        <f>SUM('prog-6'!H316)</f>
        <v>0</v>
      </c>
      <c r="I91" s="109">
        <f>SUM('prog-6'!I316)</f>
        <v>8700</v>
      </c>
      <c r="J91" s="109">
        <f>SUM('prog-6'!J316)</f>
        <v>0</v>
      </c>
      <c r="K91" s="109">
        <f>SUM('prog-6'!K316)</f>
        <v>0</v>
      </c>
      <c r="L91" s="109">
        <f>SUM('prog-6'!L316)</f>
        <v>0</v>
      </c>
      <c r="M91" s="109">
        <f>SUM('prog-6'!M316)</f>
        <v>32.4</v>
      </c>
      <c r="N91" s="109">
        <f>SUM('prog-6'!N316)</f>
        <v>0</v>
      </c>
      <c r="O91" s="109">
        <f>SUM('prog-6'!O316)</f>
        <v>1340132.3999999999</v>
      </c>
      <c r="P91" s="109">
        <f>SUM('prog-6'!P316)</f>
        <v>1180100</v>
      </c>
    </row>
    <row r="92" spans="1:16" ht="13.5" customHeight="1" x14ac:dyDescent="0.25">
      <c r="A92" s="236" t="s">
        <v>236</v>
      </c>
      <c r="B92" s="242" t="s">
        <v>239</v>
      </c>
      <c r="C92" s="238">
        <f>SUM(C93:C94)</f>
        <v>139300</v>
      </c>
      <c r="D92" s="238">
        <f t="shared" ref="D92:P92" si="22">SUM(D93:D94)</f>
        <v>103500</v>
      </c>
      <c r="E92" s="238">
        <f t="shared" si="22"/>
        <v>427900</v>
      </c>
      <c r="F92" s="238">
        <f t="shared" si="22"/>
        <v>395300</v>
      </c>
      <c r="G92" s="238">
        <f t="shared" si="22"/>
        <v>0</v>
      </c>
      <c r="H92" s="238">
        <f t="shared" si="22"/>
        <v>0</v>
      </c>
      <c r="I92" s="238">
        <f t="shared" si="22"/>
        <v>0</v>
      </c>
      <c r="J92" s="238">
        <f t="shared" si="22"/>
        <v>0</v>
      </c>
      <c r="K92" s="238">
        <f t="shared" si="22"/>
        <v>0</v>
      </c>
      <c r="L92" s="238">
        <f t="shared" si="22"/>
        <v>0</v>
      </c>
      <c r="M92" s="238">
        <f t="shared" si="22"/>
        <v>0</v>
      </c>
      <c r="N92" s="238">
        <f t="shared" si="22"/>
        <v>0</v>
      </c>
      <c r="O92" s="238">
        <f t="shared" si="22"/>
        <v>567200</v>
      </c>
      <c r="P92" s="238">
        <f t="shared" si="22"/>
        <v>498800</v>
      </c>
    </row>
    <row r="93" spans="1:16" ht="13.5" customHeight="1" x14ac:dyDescent="0.25">
      <c r="A93" s="239"/>
      <c r="B93" s="244" t="s">
        <v>296</v>
      </c>
      <c r="C93" s="109">
        <f>SUM('prog-6'!C249)</f>
        <v>3200</v>
      </c>
      <c r="D93" s="109">
        <f>SUM('prog-6'!D249)</f>
        <v>0</v>
      </c>
      <c r="E93" s="109">
        <f>SUM('prog-6'!E249)</f>
        <v>22100</v>
      </c>
      <c r="F93" s="109">
        <f>SUM('prog-6'!F249)</f>
        <v>700</v>
      </c>
      <c r="G93" s="109">
        <f>SUM('prog-6'!G249)</f>
        <v>0</v>
      </c>
      <c r="H93" s="109">
        <f>SUM('prog-6'!H249)</f>
        <v>0</v>
      </c>
      <c r="I93" s="109">
        <f>SUM('prog-6'!I249)</f>
        <v>0</v>
      </c>
      <c r="J93" s="109">
        <f>SUM('prog-6'!J249)</f>
        <v>0</v>
      </c>
      <c r="K93" s="109">
        <f>SUM('prog-6'!K249)</f>
        <v>0</v>
      </c>
      <c r="L93" s="109">
        <f>SUM('prog-6'!L249)</f>
        <v>0</v>
      </c>
      <c r="M93" s="109">
        <f>SUM('prog-6'!M249)</f>
        <v>0</v>
      </c>
      <c r="N93" s="109">
        <f>SUM('prog-6'!N249)</f>
        <v>0</v>
      </c>
      <c r="O93" s="109">
        <f>SUM('prog-6'!O249)</f>
        <v>25300</v>
      </c>
      <c r="P93" s="109">
        <f>SUM('prog-6'!P249)</f>
        <v>700</v>
      </c>
    </row>
    <row r="94" spans="1:16" ht="13.5" customHeight="1" x14ac:dyDescent="0.25">
      <c r="A94" s="239"/>
      <c r="B94" s="244" t="s">
        <v>298</v>
      </c>
      <c r="C94" s="109">
        <f>SUM('prog-6'!C320)</f>
        <v>136100</v>
      </c>
      <c r="D94" s="109">
        <f>SUM('prog-6'!D320)</f>
        <v>103500</v>
      </c>
      <c r="E94" s="109">
        <f>SUM('prog-6'!E320)</f>
        <v>405800</v>
      </c>
      <c r="F94" s="109">
        <f>SUM('prog-6'!F320)</f>
        <v>394600</v>
      </c>
      <c r="G94" s="109">
        <f>SUM('prog-6'!G320)</f>
        <v>0</v>
      </c>
      <c r="H94" s="109">
        <f>SUM('prog-6'!H320)</f>
        <v>0</v>
      </c>
      <c r="I94" s="109">
        <f>SUM('prog-6'!I320)</f>
        <v>0</v>
      </c>
      <c r="J94" s="109">
        <f>SUM('prog-6'!J320)</f>
        <v>0</v>
      </c>
      <c r="K94" s="109">
        <f>SUM('prog-6'!K320)</f>
        <v>0</v>
      </c>
      <c r="L94" s="109">
        <f>SUM('prog-6'!L320)</f>
        <v>0</v>
      </c>
      <c r="M94" s="109">
        <f>SUM('prog-6'!M320)</f>
        <v>0</v>
      </c>
      <c r="N94" s="109">
        <f>SUM('prog-6'!N320)</f>
        <v>0</v>
      </c>
      <c r="O94" s="109">
        <f>SUM('prog-6'!O320)</f>
        <v>541900</v>
      </c>
      <c r="P94" s="109">
        <f>SUM('prog-6'!P320)</f>
        <v>498100</v>
      </c>
    </row>
    <row r="95" spans="1:16" ht="13.5" customHeight="1" x14ac:dyDescent="0.25">
      <c r="A95" s="236" t="s">
        <v>420</v>
      </c>
      <c r="B95" s="242" t="s">
        <v>48</v>
      </c>
      <c r="C95" s="238">
        <f>SUM(C96:C97)</f>
        <v>87500</v>
      </c>
      <c r="D95" s="238">
        <f t="shared" ref="D95:P95" si="23">SUM(D96:D97)</f>
        <v>53100</v>
      </c>
      <c r="E95" s="238">
        <f t="shared" si="23"/>
        <v>1196159</v>
      </c>
      <c r="F95" s="238">
        <f t="shared" si="23"/>
        <v>987083</v>
      </c>
      <c r="G95" s="238">
        <f t="shared" si="23"/>
        <v>0</v>
      </c>
      <c r="H95" s="238">
        <f t="shared" si="23"/>
        <v>0</v>
      </c>
      <c r="I95" s="238">
        <f t="shared" si="23"/>
        <v>23100</v>
      </c>
      <c r="J95" s="238">
        <f t="shared" si="23"/>
        <v>0</v>
      </c>
      <c r="K95" s="238">
        <f t="shared" si="23"/>
        <v>0</v>
      </c>
      <c r="L95" s="238">
        <f t="shared" si="23"/>
        <v>0</v>
      </c>
      <c r="M95" s="238">
        <f t="shared" si="23"/>
        <v>1322.66</v>
      </c>
      <c r="N95" s="238">
        <f t="shared" si="23"/>
        <v>0</v>
      </c>
      <c r="O95" s="238">
        <f t="shared" si="23"/>
        <v>1308081.6599999999</v>
      </c>
      <c r="P95" s="238">
        <f t="shared" si="23"/>
        <v>1040183</v>
      </c>
    </row>
    <row r="96" spans="1:16" ht="13.5" customHeight="1" x14ac:dyDescent="0.25">
      <c r="A96" s="239"/>
      <c r="B96" s="244" t="s">
        <v>296</v>
      </c>
      <c r="C96" s="109">
        <f>SUM('prog-6'!C250)</f>
        <v>58900</v>
      </c>
      <c r="D96" s="109">
        <f>SUM('prog-6'!D250)</f>
        <v>52100</v>
      </c>
      <c r="E96" s="109">
        <f>SUM('prog-6'!E250)</f>
        <v>121059</v>
      </c>
      <c r="F96" s="109">
        <f>SUM('prog-6'!F250)</f>
        <v>91213</v>
      </c>
      <c r="G96" s="109">
        <f>SUM('prog-6'!G250)</f>
        <v>0</v>
      </c>
      <c r="H96" s="109">
        <f>SUM('prog-6'!H250)</f>
        <v>0</v>
      </c>
      <c r="I96" s="109">
        <f>SUM('prog-6'!I250)</f>
        <v>0</v>
      </c>
      <c r="J96" s="109">
        <f>SUM('prog-6'!J250)</f>
        <v>0</v>
      </c>
      <c r="K96" s="109">
        <f>SUM('prog-6'!K250)</f>
        <v>0</v>
      </c>
      <c r="L96" s="109">
        <f>SUM('prog-6'!L250)</f>
        <v>0</v>
      </c>
      <c r="M96" s="109">
        <f>SUM('prog-6'!M250)</f>
        <v>0</v>
      </c>
      <c r="N96" s="109">
        <f>SUM('prog-6'!N250)</f>
        <v>0</v>
      </c>
      <c r="O96" s="109">
        <f>SUM('prog-6'!O250)</f>
        <v>179959</v>
      </c>
      <c r="P96" s="109">
        <f>SUM('prog-6'!P250)</f>
        <v>143313</v>
      </c>
    </row>
    <row r="97" spans="1:16" ht="13.5" customHeight="1" x14ac:dyDescent="0.25">
      <c r="A97" s="239"/>
      <c r="B97" s="244" t="s">
        <v>298</v>
      </c>
      <c r="C97" s="109">
        <f>SUM('prog-6'!C323)</f>
        <v>28600</v>
      </c>
      <c r="D97" s="109">
        <f>SUM('prog-6'!D323)</f>
        <v>1000</v>
      </c>
      <c r="E97" s="109">
        <f>SUM('prog-6'!E323)</f>
        <v>1075100</v>
      </c>
      <c r="F97" s="109">
        <f>SUM('prog-6'!F323)</f>
        <v>895870</v>
      </c>
      <c r="G97" s="109">
        <f>SUM('prog-6'!G323)</f>
        <v>0</v>
      </c>
      <c r="H97" s="109">
        <f>SUM('prog-6'!H323)</f>
        <v>0</v>
      </c>
      <c r="I97" s="109">
        <f>SUM('prog-6'!I323)</f>
        <v>23100</v>
      </c>
      <c r="J97" s="109">
        <f>SUM('prog-6'!J323)</f>
        <v>0</v>
      </c>
      <c r="K97" s="109">
        <f>SUM('prog-6'!K323)</f>
        <v>0</v>
      </c>
      <c r="L97" s="109">
        <f>SUM('prog-6'!L323)</f>
        <v>0</v>
      </c>
      <c r="M97" s="109">
        <f>SUM('prog-6'!M323)</f>
        <v>1322.66</v>
      </c>
      <c r="N97" s="109">
        <f>SUM('prog-6'!N323)</f>
        <v>0</v>
      </c>
      <c r="O97" s="109">
        <f>SUM('prog-6'!O323)</f>
        <v>1128122.6599999999</v>
      </c>
      <c r="P97" s="109">
        <f>SUM('prog-6'!P323)</f>
        <v>896870</v>
      </c>
    </row>
    <row r="98" spans="1:16" ht="13.5" customHeight="1" x14ac:dyDescent="0.25">
      <c r="A98" s="236" t="s">
        <v>238</v>
      </c>
      <c r="B98" s="242" t="s">
        <v>246</v>
      </c>
      <c r="C98" s="238">
        <f>SUM(C99:C100)</f>
        <v>618300</v>
      </c>
      <c r="D98" s="238">
        <f t="shared" ref="D98:P98" si="24">SUM(D99:D100)</f>
        <v>513600</v>
      </c>
      <c r="E98" s="238">
        <f t="shared" si="24"/>
        <v>594300</v>
      </c>
      <c r="F98" s="238">
        <f t="shared" si="24"/>
        <v>520300</v>
      </c>
      <c r="G98" s="238">
        <f t="shared" si="24"/>
        <v>0</v>
      </c>
      <c r="H98" s="238">
        <f t="shared" si="24"/>
        <v>0</v>
      </c>
      <c r="I98" s="238">
        <f t="shared" si="24"/>
        <v>85000</v>
      </c>
      <c r="J98" s="238">
        <f t="shared" si="24"/>
        <v>0</v>
      </c>
      <c r="K98" s="238">
        <f t="shared" si="24"/>
        <v>0</v>
      </c>
      <c r="L98" s="238">
        <f t="shared" si="24"/>
        <v>0</v>
      </c>
      <c r="M98" s="238">
        <f t="shared" si="24"/>
        <v>3184.42</v>
      </c>
      <c r="N98" s="238">
        <f t="shared" si="24"/>
        <v>0</v>
      </c>
      <c r="O98" s="238">
        <f t="shared" si="24"/>
        <v>1300784.42</v>
      </c>
      <c r="P98" s="238">
        <f t="shared" si="24"/>
        <v>1033900</v>
      </c>
    </row>
    <row r="99" spans="1:16" ht="13.5" customHeight="1" x14ac:dyDescent="0.25">
      <c r="A99" s="239"/>
      <c r="B99" s="244" t="s">
        <v>296</v>
      </c>
      <c r="C99" s="109">
        <f>SUM('prog-6'!C254)</f>
        <v>0</v>
      </c>
      <c r="D99" s="109">
        <f>SUM('prog-6'!D254)</f>
        <v>0</v>
      </c>
      <c r="E99" s="109">
        <f>SUM('prog-6'!E254)</f>
        <v>19500</v>
      </c>
      <c r="F99" s="109">
        <f>SUM('prog-6'!F254)</f>
        <v>500</v>
      </c>
      <c r="G99" s="109">
        <f>SUM('prog-6'!G254)</f>
        <v>0</v>
      </c>
      <c r="H99" s="109">
        <f>SUM('prog-6'!H254)</f>
        <v>0</v>
      </c>
      <c r="I99" s="109">
        <f>SUM('prog-6'!I254)</f>
        <v>0</v>
      </c>
      <c r="J99" s="109">
        <f>SUM('prog-6'!J254)</f>
        <v>0</v>
      </c>
      <c r="K99" s="109">
        <f>SUM('prog-6'!K254)</f>
        <v>0</v>
      </c>
      <c r="L99" s="109">
        <f>SUM('prog-6'!L254)</f>
        <v>0</v>
      </c>
      <c r="M99" s="109">
        <f>SUM('prog-6'!M254)</f>
        <v>0</v>
      </c>
      <c r="N99" s="109">
        <f>SUM('prog-6'!N254)</f>
        <v>0</v>
      </c>
      <c r="O99" s="109">
        <f>SUM('prog-6'!O254)</f>
        <v>19500</v>
      </c>
      <c r="P99" s="109">
        <f>SUM('prog-6'!P254)</f>
        <v>500</v>
      </c>
    </row>
    <row r="100" spans="1:16" ht="13.5" customHeight="1" x14ac:dyDescent="0.25">
      <c r="A100" s="239"/>
      <c r="B100" s="244" t="s">
        <v>298</v>
      </c>
      <c r="C100" s="109">
        <f>SUM('prog-6'!C327)</f>
        <v>618300</v>
      </c>
      <c r="D100" s="109">
        <f>SUM('prog-6'!D327)</f>
        <v>513600</v>
      </c>
      <c r="E100" s="109">
        <f>SUM('prog-6'!E327)</f>
        <v>574800</v>
      </c>
      <c r="F100" s="109">
        <f>SUM('prog-6'!F327)</f>
        <v>519800</v>
      </c>
      <c r="G100" s="109">
        <f>SUM('prog-6'!G327)</f>
        <v>0</v>
      </c>
      <c r="H100" s="109">
        <f>SUM('prog-6'!H327)</f>
        <v>0</v>
      </c>
      <c r="I100" s="109">
        <f>SUM('prog-6'!I327)</f>
        <v>85000</v>
      </c>
      <c r="J100" s="109">
        <f>SUM('prog-6'!J327)</f>
        <v>0</v>
      </c>
      <c r="K100" s="109">
        <f>SUM('prog-6'!K327)</f>
        <v>0</v>
      </c>
      <c r="L100" s="109">
        <f>SUM('prog-6'!L327)</f>
        <v>0</v>
      </c>
      <c r="M100" s="109">
        <f>SUM('prog-6'!M327)</f>
        <v>3184.42</v>
      </c>
      <c r="N100" s="109">
        <f>SUM('prog-6'!N327)</f>
        <v>0</v>
      </c>
      <c r="O100" s="109">
        <f>SUM('prog-6'!O327)</f>
        <v>1281284.42</v>
      </c>
      <c r="P100" s="109">
        <f>SUM('prog-6'!P327)</f>
        <v>1033400</v>
      </c>
    </row>
    <row r="101" spans="1:16" ht="13.5" customHeight="1" x14ac:dyDescent="0.25">
      <c r="A101" s="241" t="s">
        <v>240</v>
      </c>
      <c r="B101" s="242" t="s">
        <v>248</v>
      </c>
      <c r="C101" s="238">
        <f t="shared" ref="C101:P101" si="25">SUM(C102:C103)</f>
        <v>724800</v>
      </c>
      <c r="D101" s="238">
        <f t="shared" si="25"/>
        <v>635000</v>
      </c>
      <c r="E101" s="238">
        <f t="shared" si="25"/>
        <v>554684</v>
      </c>
      <c r="F101" s="238">
        <f t="shared" si="25"/>
        <v>476732</v>
      </c>
      <c r="G101" s="238">
        <f t="shared" si="25"/>
        <v>0</v>
      </c>
      <c r="H101" s="238">
        <f t="shared" si="25"/>
        <v>0</v>
      </c>
      <c r="I101" s="238">
        <f t="shared" si="25"/>
        <v>56000</v>
      </c>
      <c r="J101" s="238">
        <f t="shared" si="25"/>
        <v>0</v>
      </c>
      <c r="K101" s="238">
        <f t="shared" si="25"/>
        <v>0</v>
      </c>
      <c r="L101" s="238">
        <f t="shared" si="25"/>
        <v>0</v>
      </c>
      <c r="M101" s="238">
        <f t="shared" si="25"/>
        <v>4485.57</v>
      </c>
      <c r="N101" s="238">
        <f t="shared" si="25"/>
        <v>0</v>
      </c>
      <c r="O101" s="238">
        <f t="shared" si="25"/>
        <v>1339969.57</v>
      </c>
      <c r="P101" s="238">
        <f t="shared" si="25"/>
        <v>1111732</v>
      </c>
    </row>
    <row r="102" spans="1:16" ht="13.5" customHeight="1" x14ac:dyDescent="0.25">
      <c r="A102" s="243"/>
      <c r="B102" s="244" t="s">
        <v>296</v>
      </c>
      <c r="C102" s="109">
        <f>SUM('prog-6'!C255)</f>
        <v>161500</v>
      </c>
      <c r="D102" s="109">
        <f>SUM('prog-6'!D255)</f>
        <v>155000</v>
      </c>
      <c r="E102" s="109">
        <f>SUM('prog-6'!E255)</f>
        <v>49949</v>
      </c>
      <c r="F102" s="109">
        <f>SUM('prog-6'!F255)</f>
        <v>22332</v>
      </c>
      <c r="G102" s="109">
        <f>SUM('prog-6'!G255)</f>
        <v>0</v>
      </c>
      <c r="H102" s="109">
        <f>SUM('prog-6'!H255)</f>
        <v>0</v>
      </c>
      <c r="I102" s="109">
        <f>SUM('prog-6'!I255)</f>
        <v>0</v>
      </c>
      <c r="J102" s="109">
        <f>SUM('prog-6'!J255)</f>
        <v>0</v>
      </c>
      <c r="K102" s="109">
        <f>SUM('prog-6'!K255)</f>
        <v>0</v>
      </c>
      <c r="L102" s="109">
        <f>SUM('prog-6'!L255)</f>
        <v>0</v>
      </c>
      <c r="M102" s="109">
        <f>SUM('prog-6'!M255)</f>
        <v>0</v>
      </c>
      <c r="N102" s="109">
        <f>SUM('prog-6'!N255)</f>
        <v>0</v>
      </c>
      <c r="O102" s="109">
        <f>SUM('prog-6'!O255)</f>
        <v>211449</v>
      </c>
      <c r="P102" s="109">
        <f>SUM('prog-6'!P255)</f>
        <v>177332</v>
      </c>
    </row>
    <row r="103" spans="1:16" ht="13.5" customHeight="1" x14ac:dyDescent="0.25">
      <c r="A103" s="243"/>
      <c r="B103" s="244" t="s">
        <v>298</v>
      </c>
      <c r="C103" s="109">
        <f>SUM('prog-6'!C331)</f>
        <v>563300</v>
      </c>
      <c r="D103" s="109">
        <f>SUM('prog-6'!D331)</f>
        <v>480000</v>
      </c>
      <c r="E103" s="109">
        <f>SUM('prog-6'!E331)</f>
        <v>504735</v>
      </c>
      <c r="F103" s="109">
        <f>SUM('prog-6'!F331)</f>
        <v>454400</v>
      </c>
      <c r="G103" s="109">
        <f>SUM('prog-6'!G331)</f>
        <v>0</v>
      </c>
      <c r="H103" s="109">
        <f>SUM('prog-6'!H331)</f>
        <v>0</v>
      </c>
      <c r="I103" s="109">
        <f>SUM('prog-6'!I331)</f>
        <v>56000</v>
      </c>
      <c r="J103" s="109">
        <f>SUM('prog-6'!J331)</f>
        <v>0</v>
      </c>
      <c r="K103" s="109">
        <f>SUM('prog-6'!K331)</f>
        <v>0</v>
      </c>
      <c r="L103" s="109">
        <f>SUM('prog-6'!L331)</f>
        <v>0</v>
      </c>
      <c r="M103" s="109">
        <f>SUM('prog-6'!M331)</f>
        <v>4485.57</v>
      </c>
      <c r="N103" s="109">
        <f>SUM('prog-6'!N331)</f>
        <v>0</v>
      </c>
      <c r="O103" s="109">
        <f>SUM('prog-6'!O331)</f>
        <v>1128520.57</v>
      </c>
      <c r="P103" s="109">
        <f>SUM('prog-6'!P331)</f>
        <v>934400</v>
      </c>
    </row>
    <row r="104" spans="1:16" ht="13.5" customHeight="1" x14ac:dyDescent="0.25">
      <c r="A104" s="241" t="s">
        <v>241</v>
      </c>
      <c r="B104" s="242" t="s">
        <v>347</v>
      </c>
      <c r="C104" s="238">
        <f>SUM(C105:C105)</f>
        <v>680900</v>
      </c>
      <c r="D104" s="238">
        <f t="shared" ref="D104:P104" si="26">SUM(D105:D105)</f>
        <v>646000</v>
      </c>
      <c r="E104" s="238">
        <f t="shared" si="26"/>
        <v>19000</v>
      </c>
      <c r="F104" s="238">
        <f t="shared" si="26"/>
        <v>18600</v>
      </c>
      <c r="G104" s="238">
        <f t="shared" si="26"/>
        <v>0</v>
      </c>
      <c r="H104" s="238">
        <f t="shared" si="26"/>
        <v>0</v>
      </c>
      <c r="I104" s="238">
        <f t="shared" si="26"/>
        <v>32300</v>
      </c>
      <c r="J104" s="238">
        <f t="shared" si="26"/>
        <v>0</v>
      </c>
      <c r="K104" s="238">
        <f t="shared" si="26"/>
        <v>0</v>
      </c>
      <c r="L104" s="238">
        <f t="shared" si="26"/>
        <v>0</v>
      </c>
      <c r="M104" s="238">
        <f t="shared" si="26"/>
        <v>11346.24</v>
      </c>
      <c r="N104" s="238">
        <f t="shared" si="26"/>
        <v>0</v>
      </c>
      <c r="O104" s="238">
        <f t="shared" si="26"/>
        <v>743546.24</v>
      </c>
      <c r="P104" s="238">
        <f t="shared" si="26"/>
        <v>664600</v>
      </c>
    </row>
    <row r="105" spans="1:16" ht="13.5" customHeight="1" x14ac:dyDescent="0.25">
      <c r="A105" s="243"/>
      <c r="B105" s="244" t="s">
        <v>298</v>
      </c>
      <c r="C105" s="109">
        <f>SUM('prog-6'!C336)</f>
        <v>680900</v>
      </c>
      <c r="D105" s="109">
        <f>SUM('prog-6'!D336)</f>
        <v>646000</v>
      </c>
      <c r="E105" s="109">
        <f>SUM('prog-6'!E336)</f>
        <v>19000</v>
      </c>
      <c r="F105" s="109">
        <f>SUM('prog-6'!F336)</f>
        <v>18600</v>
      </c>
      <c r="G105" s="109">
        <f>SUM('prog-6'!G336)</f>
        <v>0</v>
      </c>
      <c r="H105" s="109">
        <f>SUM('prog-6'!H336)</f>
        <v>0</v>
      </c>
      <c r="I105" s="109">
        <f>SUM('prog-6'!I336)</f>
        <v>32300</v>
      </c>
      <c r="J105" s="109">
        <f>SUM('prog-6'!J336)</f>
        <v>0</v>
      </c>
      <c r="K105" s="109">
        <f>SUM('prog-6'!K336)</f>
        <v>0</v>
      </c>
      <c r="L105" s="109">
        <f>SUM('prog-6'!L336)</f>
        <v>0</v>
      </c>
      <c r="M105" s="109">
        <f>SUM('prog-6'!M336)</f>
        <v>11346.24</v>
      </c>
      <c r="N105" s="109">
        <f>SUM('prog-6'!N336)</f>
        <v>0</v>
      </c>
      <c r="O105" s="109">
        <f>SUM('prog-6'!O336)</f>
        <v>743546.24</v>
      </c>
      <c r="P105" s="109">
        <f>SUM('prog-6'!P336)</f>
        <v>664600</v>
      </c>
    </row>
    <row r="106" spans="1:16" ht="13.5" customHeight="1" x14ac:dyDescent="0.25">
      <c r="A106" s="241" t="s">
        <v>421</v>
      </c>
      <c r="B106" s="242" t="s">
        <v>35</v>
      </c>
      <c r="C106" s="238">
        <f>SUM(C107:C107)</f>
        <v>670400</v>
      </c>
      <c r="D106" s="238">
        <f t="shared" ref="D106:P106" si="27">SUM(D107:D107)</f>
        <v>564000</v>
      </c>
      <c r="E106" s="238">
        <f t="shared" si="27"/>
        <v>0</v>
      </c>
      <c r="F106" s="238">
        <f t="shared" si="27"/>
        <v>0</v>
      </c>
      <c r="G106" s="238">
        <f t="shared" si="27"/>
        <v>0</v>
      </c>
      <c r="H106" s="238">
        <f t="shared" si="27"/>
        <v>0</v>
      </c>
      <c r="I106" s="238">
        <f t="shared" si="27"/>
        <v>21000</v>
      </c>
      <c r="J106" s="238">
        <f t="shared" si="27"/>
        <v>0</v>
      </c>
      <c r="K106" s="238">
        <f t="shared" si="27"/>
        <v>0</v>
      </c>
      <c r="L106" s="238">
        <f t="shared" si="27"/>
        <v>0</v>
      </c>
      <c r="M106" s="238">
        <f t="shared" si="27"/>
        <v>0</v>
      </c>
      <c r="N106" s="238">
        <f t="shared" si="27"/>
        <v>0</v>
      </c>
      <c r="O106" s="238">
        <f t="shared" si="27"/>
        <v>691400</v>
      </c>
      <c r="P106" s="238">
        <f t="shared" si="27"/>
        <v>564000</v>
      </c>
    </row>
    <row r="107" spans="1:16" ht="13.5" customHeight="1" x14ac:dyDescent="0.25">
      <c r="A107" s="243"/>
      <c r="B107" s="244" t="s">
        <v>162</v>
      </c>
      <c r="C107" s="109">
        <f>SUM('prog-6'!C163)</f>
        <v>670400</v>
      </c>
      <c r="D107" s="109">
        <f>SUM('prog-6'!D163)</f>
        <v>564000</v>
      </c>
      <c r="E107" s="109">
        <f>SUM('prog-6'!E163)</f>
        <v>0</v>
      </c>
      <c r="F107" s="109">
        <f>SUM('prog-6'!F163)</f>
        <v>0</v>
      </c>
      <c r="G107" s="109">
        <f>SUM('prog-6'!G163)</f>
        <v>0</v>
      </c>
      <c r="H107" s="109">
        <f>SUM('prog-6'!H163)</f>
        <v>0</v>
      </c>
      <c r="I107" s="109">
        <f>SUM('prog-6'!I163)</f>
        <v>21000</v>
      </c>
      <c r="J107" s="109">
        <f>SUM('prog-6'!J163)</f>
        <v>0</v>
      </c>
      <c r="K107" s="109">
        <f>SUM('prog-6'!K163)</f>
        <v>0</v>
      </c>
      <c r="L107" s="109">
        <f>SUM('prog-6'!L163)</f>
        <v>0</v>
      </c>
      <c r="M107" s="109">
        <f>SUM('prog-6'!M163)</f>
        <v>0</v>
      </c>
      <c r="N107" s="109">
        <f>SUM('prog-6'!N163)</f>
        <v>0</v>
      </c>
      <c r="O107" s="109">
        <f>SUM('prog-6'!O163)</f>
        <v>691400</v>
      </c>
      <c r="P107" s="109">
        <f>SUM('prog-6'!P163)</f>
        <v>564000</v>
      </c>
    </row>
    <row r="108" spans="1:16" ht="18.600000000000001" customHeight="1" x14ac:dyDescent="0.25">
      <c r="A108" s="236" t="s">
        <v>242</v>
      </c>
      <c r="B108" s="242" t="s">
        <v>68</v>
      </c>
      <c r="C108" s="238">
        <f>SUM(C109:C110)</f>
        <v>382000</v>
      </c>
      <c r="D108" s="238">
        <f t="shared" ref="D108:P108" si="28">SUM(D109:D110)</f>
        <v>285000</v>
      </c>
      <c r="E108" s="238">
        <f t="shared" si="28"/>
        <v>0</v>
      </c>
      <c r="F108" s="238">
        <f t="shared" si="28"/>
        <v>0</v>
      </c>
      <c r="G108" s="238">
        <f t="shared" si="28"/>
        <v>0</v>
      </c>
      <c r="H108" s="238">
        <f t="shared" si="28"/>
        <v>0</v>
      </c>
      <c r="I108" s="238">
        <f t="shared" si="28"/>
        <v>4000</v>
      </c>
      <c r="J108" s="238">
        <f t="shared" si="28"/>
        <v>0</v>
      </c>
      <c r="K108" s="238">
        <f t="shared" si="28"/>
        <v>0</v>
      </c>
      <c r="L108" s="238">
        <f t="shared" si="28"/>
        <v>0</v>
      </c>
      <c r="M108" s="238">
        <f t="shared" si="28"/>
        <v>45</v>
      </c>
      <c r="N108" s="238">
        <f t="shared" si="28"/>
        <v>0</v>
      </c>
      <c r="O108" s="238">
        <f t="shared" si="28"/>
        <v>386045</v>
      </c>
      <c r="P108" s="238">
        <f t="shared" si="28"/>
        <v>285000</v>
      </c>
    </row>
    <row r="109" spans="1:16" ht="13.5" customHeight="1" x14ac:dyDescent="0.25">
      <c r="A109" s="239"/>
      <c r="B109" s="244" t="s">
        <v>142</v>
      </c>
      <c r="C109" s="109">
        <f>SUM('prog-6'!C147)</f>
        <v>0</v>
      </c>
      <c r="D109" s="109">
        <f>SUM('prog-6'!D147)</f>
        <v>0</v>
      </c>
      <c r="E109" s="109">
        <f>SUM('prog-6'!E147)</f>
        <v>0</v>
      </c>
      <c r="F109" s="109">
        <f>SUM('prog-6'!F147)</f>
        <v>0</v>
      </c>
      <c r="G109" s="109">
        <f>SUM('prog-6'!G147)</f>
        <v>0</v>
      </c>
      <c r="H109" s="109">
        <f>SUM('prog-6'!H147)</f>
        <v>0</v>
      </c>
      <c r="I109" s="109">
        <f>SUM('prog-6'!I147)</f>
        <v>0</v>
      </c>
      <c r="J109" s="109">
        <f>SUM('prog-6'!J147)</f>
        <v>0</v>
      </c>
      <c r="K109" s="109">
        <f>SUM('prog-6'!K147)</f>
        <v>0</v>
      </c>
      <c r="L109" s="109">
        <f>SUM('prog-6'!L147)</f>
        <v>0</v>
      </c>
      <c r="M109" s="109">
        <f>SUM('prog-6'!M147)</f>
        <v>45</v>
      </c>
      <c r="N109" s="109">
        <f>SUM('prog-6'!N147)</f>
        <v>0</v>
      </c>
      <c r="O109" s="109">
        <f>SUM('prog-6'!O147)</f>
        <v>45</v>
      </c>
      <c r="P109" s="109">
        <f>SUM('prog-6'!P147)</f>
        <v>0</v>
      </c>
    </row>
    <row r="110" spans="1:16" ht="13.5" customHeight="1" x14ac:dyDescent="0.25">
      <c r="A110" s="239"/>
      <c r="B110" s="244" t="s">
        <v>162</v>
      </c>
      <c r="C110" s="109">
        <f>SUM('prog-6'!C165)</f>
        <v>382000</v>
      </c>
      <c r="D110" s="109">
        <f>SUM('prog-6'!D165)</f>
        <v>285000</v>
      </c>
      <c r="E110" s="109">
        <f>SUM('prog-6'!E165)</f>
        <v>0</v>
      </c>
      <c r="F110" s="109">
        <f>SUM('prog-6'!F165)</f>
        <v>0</v>
      </c>
      <c r="G110" s="109">
        <f>SUM('prog-6'!G165)</f>
        <v>0</v>
      </c>
      <c r="H110" s="109">
        <f>SUM('prog-6'!H165)</f>
        <v>0</v>
      </c>
      <c r="I110" s="109">
        <f>SUM('prog-6'!I165)</f>
        <v>4000</v>
      </c>
      <c r="J110" s="109">
        <f>SUM('prog-6'!J165)</f>
        <v>0</v>
      </c>
      <c r="K110" s="109">
        <f>SUM('prog-6'!K165)</f>
        <v>0</v>
      </c>
      <c r="L110" s="109">
        <f>SUM('prog-6'!L165)</f>
        <v>0</v>
      </c>
      <c r="M110" s="109">
        <f>SUM('prog-6'!M165)</f>
        <v>0</v>
      </c>
      <c r="N110" s="109">
        <f>SUM('prog-6'!N165)</f>
        <v>0</v>
      </c>
      <c r="O110" s="109">
        <f>SUM('prog-6'!O165)</f>
        <v>386000</v>
      </c>
      <c r="P110" s="109">
        <f>SUM('prog-6'!P165)</f>
        <v>285000</v>
      </c>
    </row>
    <row r="111" spans="1:16" ht="13.5" customHeight="1" x14ac:dyDescent="0.25">
      <c r="A111" s="236" t="s">
        <v>243</v>
      </c>
      <c r="B111" s="242" t="s">
        <v>38</v>
      </c>
      <c r="C111" s="238">
        <f>SUM(C112)</f>
        <v>279800</v>
      </c>
      <c r="D111" s="238">
        <f t="shared" ref="D111:P111" si="29">SUM(D112)</f>
        <v>217100</v>
      </c>
      <c r="E111" s="238">
        <f t="shared" si="29"/>
        <v>0</v>
      </c>
      <c r="F111" s="238">
        <f t="shared" si="29"/>
        <v>0</v>
      </c>
      <c r="G111" s="238">
        <f t="shared" si="29"/>
        <v>0</v>
      </c>
      <c r="H111" s="238">
        <f t="shared" si="29"/>
        <v>0</v>
      </c>
      <c r="I111" s="238">
        <f t="shared" si="29"/>
        <v>3000</v>
      </c>
      <c r="J111" s="238">
        <f t="shared" si="29"/>
        <v>0</v>
      </c>
      <c r="K111" s="238">
        <f t="shared" si="29"/>
        <v>0</v>
      </c>
      <c r="L111" s="238">
        <f t="shared" si="29"/>
        <v>0</v>
      </c>
      <c r="M111" s="238">
        <f t="shared" si="29"/>
        <v>0</v>
      </c>
      <c r="N111" s="238">
        <f t="shared" si="29"/>
        <v>0</v>
      </c>
      <c r="O111" s="238">
        <f t="shared" si="29"/>
        <v>282800</v>
      </c>
      <c r="P111" s="238">
        <f t="shared" si="29"/>
        <v>217100</v>
      </c>
    </row>
    <row r="112" spans="1:16" ht="13.5" customHeight="1" x14ac:dyDescent="0.25">
      <c r="A112" s="239"/>
      <c r="B112" s="244" t="s">
        <v>162</v>
      </c>
      <c r="C112" s="109">
        <f>SUM('prog-6'!C167)</f>
        <v>279800</v>
      </c>
      <c r="D112" s="109">
        <f>SUM('prog-6'!D167)</f>
        <v>217100</v>
      </c>
      <c r="E112" s="109">
        <f>SUM('prog-6'!E167)</f>
        <v>0</v>
      </c>
      <c r="F112" s="109">
        <f>SUM('prog-6'!F167)</f>
        <v>0</v>
      </c>
      <c r="G112" s="109">
        <f>SUM('prog-6'!G167)</f>
        <v>0</v>
      </c>
      <c r="H112" s="109">
        <f>SUM('prog-6'!H167)</f>
        <v>0</v>
      </c>
      <c r="I112" s="109">
        <f>SUM('prog-6'!I167)</f>
        <v>3000</v>
      </c>
      <c r="J112" s="109">
        <f>SUM('prog-6'!J167)</f>
        <v>0</v>
      </c>
      <c r="K112" s="109">
        <f>SUM('prog-6'!K167)</f>
        <v>0</v>
      </c>
      <c r="L112" s="109">
        <f>SUM('prog-6'!L167)</f>
        <v>0</v>
      </c>
      <c r="M112" s="109">
        <f>SUM('prog-6'!M167)</f>
        <v>0</v>
      </c>
      <c r="N112" s="109">
        <f>SUM('prog-6'!N167)</f>
        <v>0</v>
      </c>
      <c r="O112" s="109">
        <f>SUM('prog-6'!O167)</f>
        <v>282800</v>
      </c>
      <c r="P112" s="109">
        <f>SUM('prog-6'!P167)</f>
        <v>217100</v>
      </c>
    </row>
    <row r="113" spans="1:16" ht="13.5" customHeight="1" x14ac:dyDescent="0.25">
      <c r="A113" s="241" t="s">
        <v>244</v>
      </c>
      <c r="B113" s="242" t="s">
        <v>37</v>
      </c>
      <c r="C113" s="238">
        <f>SUM(C114)</f>
        <v>133900</v>
      </c>
      <c r="D113" s="238">
        <f t="shared" ref="D113:P113" si="30">SUM(D114)</f>
        <v>110900</v>
      </c>
      <c r="E113" s="238">
        <f t="shared" si="30"/>
        <v>0</v>
      </c>
      <c r="F113" s="238">
        <f t="shared" si="30"/>
        <v>0</v>
      </c>
      <c r="G113" s="238">
        <f t="shared" si="30"/>
        <v>0</v>
      </c>
      <c r="H113" s="238">
        <f t="shared" si="30"/>
        <v>0</v>
      </c>
      <c r="I113" s="238">
        <f t="shared" si="30"/>
        <v>1600</v>
      </c>
      <c r="J113" s="238">
        <f t="shared" si="30"/>
        <v>0</v>
      </c>
      <c r="K113" s="238">
        <f t="shared" si="30"/>
        <v>0</v>
      </c>
      <c r="L113" s="238">
        <f t="shared" si="30"/>
        <v>0</v>
      </c>
      <c r="M113" s="238">
        <f t="shared" si="30"/>
        <v>0</v>
      </c>
      <c r="N113" s="238">
        <f t="shared" si="30"/>
        <v>0</v>
      </c>
      <c r="O113" s="238">
        <f t="shared" si="30"/>
        <v>135500</v>
      </c>
      <c r="P113" s="238">
        <f t="shared" si="30"/>
        <v>110900</v>
      </c>
    </row>
    <row r="114" spans="1:16" ht="13.5" customHeight="1" x14ac:dyDescent="0.25">
      <c r="A114" s="243"/>
      <c r="B114" s="244" t="s">
        <v>162</v>
      </c>
      <c r="C114" s="109">
        <f>SUM('prog-6'!C171)</f>
        <v>133900</v>
      </c>
      <c r="D114" s="109">
        <f>SUM('prog-6'!D171)</f>
        <v>110900</v>
      </c>
      <c r="E114" s="109">
        <f>SUM('prog-6'!E171)</f>
        <v>0</v>
      </c>
      <c r="F114" s="109">
        <f>SUM('prog-6'!F171)</f>
        <v>0</v>
      </c>
      <c r="G114" s="109">
        <f>SUM('prog-6'!G171)</f>
        <v>0</v>
      </c>
      <c r="H114" s="109">
        <f>SUM('prog-6'!H171)</f>
        <v>0</v>
      </c>
      <c r="I114" s="109">
        <f>SUM('prog-6'!I171)</f>
        <v>1600</v>
      </c>
      <c r="J114" s="109">
        <f>SUM('prog-6'!J171)</f>
        <v>0</v>
      </c>
      <c r="K114" s="109">
        <f>SUM('prog-6'!K171)</f>
        <v>0</v>
      </c>
      <c r="L114" s="109">
        <f>SUM('prog-6'!L171)</f>
        <v>0</v>
      </c>
      <c r="M114" s="109">
        <f>SUM('prog-6'!M171)</f>
        <v>0</v>
      </c>
      <c r="N114" s="109">
        <f>SUM('prog-6'!N171)</f>
        <v>0</v>
      </c>
      <c r="O114" s="109">
        <f>SUM('prog-6'!O171)</f>
        <v>135500</v>
      </c>
      <c r="P114" s="109">
        <f>SUM('prog-6'!P171)</f>
        <v>110900</v>
      </c>
    </row>
    <row r="115" spans="1:16" ht="13.5" customHeight="1" x14ac:dyDescent="0.25">
      <c r="A115" s="236" t="s">
        <v>245</v>
      </c>
      <c r="B115" s="242" t="s">
        <v>36</v>
      </c>
      <c r="C115" s="238">
        <f>SUM(C116)</f>
        <v>235800</v>
      </c>
      <c r="D115" s="238">
        <f t="shared" ref="D115:P115" si="31">SUM(D116)</f>
        <v>195000</v>
      </c>
      <c r="E115" s="238">
        <f t="shared" si="31"/>
        <v>0</v>
      </c>
      <c r="F115" s="238">
        <f t="shared" si="31"/>
        <v>0</v>
      </c>
      <c r="G115" s="238">
        <f t="shared" si="31"/>
        <v>0</v>
      </c>
      <c r="H115" s="238">
        <f t="shared" si="31"/>
        <v>0</v>
      </c>
      <c r="I115" s="238">
        <f t="shared" si="31"/>
        <v>1200</v>
      </c>
      <c r="J115" s="238">
        <f t="shared" si="31"/>
        <v>0</v>
      </c>
      <c r="K115" s="238">
        <f t="shared" si="31"/>
        <v>0</v>
      </c>
      <c r="L115" s="238">
        <f t="shared" si="31"/>
        <v>0</v>
      </c>
      <c r="M115" s="238">
        <f t="shared" si="31"/>
        <v>0</v>
      </c>
      <c r="N115" s="238">
        <f t="shared" si="31"/>
        <v>0</v>
      </c>
      <c r="O115" s="238">
        <f t="shared" si="31"/>
        <v>237000</v>
      </c>
      <c r="P115" s="238">
        <f t="shared" si="31"/>
        <v>195000</v>
      </c>
    </row>
    <row r="116" spans="1:16" ht="13.5" customHeight="1" x14ac:dyDescent="0.25">
      <c r="A116" s="239"/>
      <c r="B116" s="244" t="s">
        <v>162</v>
      </c>
      <c r="C116" s="109">
        <f>SUM('prog-6'!C169)</f>
        <v>235800</v>
      </c>
      <c r="D116" s="109">
        <f>SUM('prog-6'!D169)</f>
        <v>195000</v>
      </c>
      <c r="E116" s="109">
        <f>SUM('prog-6'!E169)</f>
        <v>0</v>
      </c>
      <c r="F116" s="109">
        <f>SUM('prog-6'!F169)</f>
        <v>0</v>
      </c>
      <c r="G116" s="109">
        <f>SUM('prog-6'!G169)</f>
        <v>0</v>
      </c>
      <c r="H116" s="109">
        <f>SUM('prog-6'!H169)</f>
        <v>0</v>
      </c>
      <c r="I116" s="109">
        <f>SUM('prog-6'!I169)</f>
        <v>1200</v>
      </c>
      <c r="J116" s="109">
        <f>SUM('prog-6'!J169)</f>
        <v>0</v>
      </c>
      <c r="K116" s="109">
        <f>SUM('prog-6'!K169)</f>
        <v>0</v>
      </c>
      <c r="L116" s="109">
        <f>SUM('prog-6'!L169)</f>
        <v>0</v>
      </c>
      <c r="M116" s="109">
        <f>SUM('prog-6'!M169)</f>
        <v>0</v>
      </c>
      <c r="N116" s="109">
        <f>SUM('prog-6'!N169)</f>
        <v>0</v>
      </c>
      <c r="O116" s="109">
        <f>SUM('prog-6'!O169)</f>
        <v>237000</v>
      </c>
      <c r="P116" s="109">
        <f>SUM('prog-6'!P169)</f>
        <v>195000</v>
      </c>
    </row>
    <row r="117" spans="1:16" ht="13.5" customHeight="1" x14ac:dyDescent="0.25">
      <c r="A117" s="236" t="s">
        <v>247</v>
      </c>
      <c r="B117" s="242" t="s">
        <v>332</v>
      </c>
      <c r="C117" s="238">
        <f>SUM(C118)</f>
        <v>154300</v>
      </c>
      <c r="D117" s="238">
        <f t="shared" ref="D117:P117" si="32">SUM(D118)</f>
        <v>130200</v>
      </c>
      <c r="E117" s="238">
        <f t="shared" si="32"/>
        <v>0</v>
      </c>
      <c r="F117" s="238">
        <f t="shared" si="32"/>
        <v>0</v>
      </c>
      <c r="G117" s="238">
        <f t="shared" si="32"/>
        <v>0</v>
      </c>
      <c r="H117" s="238">
        <f t="shared" si="32"/>
        <v>0</v>
      </c>
      <c r="I117" s="238">
        <f t="shared" si="32"/>
        <v>1000</v>
      </c>
      <c r="J117" s="238">
        <f t="shared" si="32"/>
        <v>0</v>
      </c>
      <c r="K117" s="238">
        <f t="shared" si="32"/>
        <v>0</v>
      </c>
      <c r="L117" s="238">
        <f t="shared" si="32"/>
        <v>0</v>
      </c>
      <c r="M117" s="238">
        <f t="shared" si="32"/>
        <v>0</v>
      </c>
      <c r="N117" s="238">
        <f t="shared" si="32"/>
        <v>0</v>
      </c>
      <c r="O117" s="238">
        <f t="shared" si="32"/>
        <v>155300</v>
      </c>
      <c r="P117" s="238">
        <f t="shared" si="32"/>
        <v>130200</v>
      </c>
    </row>
    <row r="118" spans="1:16" ht="13.5" customHeight="1" x14ac:dyDescent="0.25">
      <c r="A118" s="239"/>
      <c r="B118" s="244" t="s">
        <v>162</v>
      </c>
      <c r="C118" s="109">
        <f>SUM('prog-6'!C173)</f>
        <v>154300</v>
      </c>
      <c r="D118" s="109">
        <f>SUM('prog-6'!D173)</f>
        <v>130200</v>
      </c>
      <c r="E118" s="109">
        <f>SUM('prog-6'!E173)</f>
        <v>0</v>
      </c>
      <c r="F118" s="109">
        <f>SUM('prog-6'!F173)</f>
        <v>0</v>
      </c>
      <c r="G118" s="109">
        <f>SUM('prog-6'!G173)</f>
        <v>0</v>
      </c>
      <c r="H118" s="109">
        <f>SUM('prog-6'!H173)</f>
        <v>0</v>
      </c>
      <c r="I118" s="109">
        <f>SUM('prog-6'!I173)</f>
        <v>1000</v>
      </c>
      <c r="J118" s="109">
        <f>SUM('prog-6'!J173)</f>
        <v>0</v>
      </c>
      <c r="K118" s="109">
        <f>SUM('prog-6'!K173)</f>
        <v>0</v>
      </c>
      <c r="L118" s="109">
        <f>SUM('prog-6'!L173)</f>
        <v>0</v>
      </c>
      <c r="M118" s="109">
        <f>SUM('prog-6'!M173)</f>
        <v>0</v>
      </c>
      <c r="N118" s="109">
        <f>SUM('prog-6'!N173)</f>
        <v>0</v>
      </c>
      <c r="O118" s="109">
        <f>SUM('prog-6'!O173)</f>
        <v>155300</v>
      </c>
      <c r="P118" s="109">
        <f>SUM('prog-6'!P173)</f>
        <v>130200</v>
      </c>
    </row>
    <row r="119" spans="1:16" ht="13.5" customHeight="1" x14ac:dyDescent="0.25">
      <c r="A119" s="236" t="s">
        <v>249</v>
      </c>
      <c r="B119" s="242" t="s">
        <v>260</v>
      </c>
      <c r="C119" s="238">
        <f>SUM(C120)</f>
        <v>926100</v>
      </c>
      <c r="D119" s="238">
        <f t="shared" ref="D119:P119" si="33">SUM(D120)</f>
        <v>818500</v>
      </c>
      <c r="E119" s="238">
        <f t="shared" si="33"/>
        <v>30228</v>
      </c>
      <c r="F119" s="238">
        <f t="shared" si="33"/>
        <v>0</v>
      </c>
      <c r="G119" s="238">
        <f t="shared" si="33"/>
        <v>0</v>
      </c>
      <c r="H119" s="238">
        <f t="shared" si="33"/>
        <v>0</v>
      </c>
      <c r="I119" s="238">
        <f t="shared" si="33"/>
        <v>1400</v>
      </c>
      <c r="J119" s="238">
        <f t="shared" si="33"/>
        <v>0</v>
      </c>
      <c r="K119" s="238">
        <f t="shared" si="33"/>
        <v>0</v>
      </c>
      <c r="L119" s="238">
        <f t="shared" si="33"/>
        <v>0</v>
      </c>
      <c r="M119" s="238">
        <f t="shared" si="33"/>
        <v>0</v>
      </c>
      <c r="N119" s="238">
        <f t="shared" si="33"/>
        <v>0</v>
      </c>
      <c r="O119" s="238">
        <f t="shared" si="33"/>
        <v>957728</v>
      </c>
      <c r="P119" s="238">
        <f t="shared" si="33"/>
        <v>818500</v>
      </c>
    </row>
    <row r="120" spans="1:16" ht="13.5" customHeight="1" x14ac:dyDescent="0.25">
      <c r="A120" s="239"/>
      <c r="B120" s="244" t="s">
        <v>162</v>
      </c>
      <c r="C120" s="109">
        <f>SUM('prog-6'!C175)</f>
        <v>926100</v>
      </c>
      <c r="D120" s="109">
        <f>SUM('prog-6'!D175)</f>
        <v>818500</v>
      </c>
      <c r="E120" s="109">
        <f>SUM('prog-6'!E175)</f>
        <v>30228</v>
      </c>
      <c r="F120" s="109">
        <f>SUM('prog-6'!F175)</f>
        <v>0</v>
      </c>
      <c r="G120" s="109">
        <f>SUM('prog-6'!G175)</f>
        <v>0</v>
      </c>
      <c r="H120" s="109">
        <f>SUM('prog-6'!H175)</f>
        <v>0</v>
      </c>
      <c r="I120" s="109">
        <f>SUM('prog-6'!I175)</f>
        <v>1400</v>
      </c>
      <c r="J120" s="109">
        <f>SUM('prog-6'!J175)</f>
        <v>0</v>
      </c>
      <c r="K120" s="109">
        <f>SUM('prog-6'!K175)</f>
        <v>0</v>
      </c>
      <c r="L120" s="109">
        <f>SUM('prog-6'!L175)</f>
        <v>0</v>
      </c>
      <c r="M120" s="109">
        <f>SUM('prog-6'!M175)</f>
        <v>0</v>
      </c>
      <c r="N120" s="109">
        <f>SUM('prog-6'!N175)</f>
        <v>0</v>
      </c>
      <c r="O120" s="109">
        <f>SUM('prog-6'!O175)</f>
        <v>957728</v>
      </c>
      <c r="P120" s="109">
        <f>SUM('prog-6'!P175)</f>
        <v>818500</v>
      </c>
    </row>
    <row r="121" spans="1:16" ht="13.5" customHeight="1" x14ac:dyDescent="0.25">
      <c r="A121" s="241" t="s">
        <v>422</v>
      </c>
      <c r="B121" s="242" t="s">
        <v>33</v>
      </c>
      <c r="C121" s="238">
        <f>SUM(C122)</f>
        <v>271700</v>
      </c>
      <c r="D121" s="238">
        <f t="shared" ref="D121:P121" si="34">SUM(D122)</f>
        <v>228000</v>
      </c>
      <c r="E121" s="238">
        <f t="shared" si="34"/>
        <v>0</v>
      </c>
      <c r="F121" s="238">
        <f t="shared" si="34"/>
        <v>0</v>
      </c>
      <c r="G121" s="238">
        <f t="shared" si="34"/>
        <v>0</v>
      </c>
      <c r="H121" s="238">
        <f t="shared" si="34"/>
        <v>0</v>
      </c>
      <c r="I121" s="238">
        <f t="shared" si="34"/>
        <v>11000</v>
      </c>
      <c r="J121" s="238">
        <f t="shared" si="34"/>
        <v>5500</v>
      </c>
      <c r="K121" s="238">
        <f t="shared" si="34"/>
        <v>100000</v>
      </c>
      <c r="L121" s="238">
        <f t="shared" si="34"/>
        <v>0</v>
      </c>
      <c r="M121" s="238">
        <f t="shared" si="34"/>
        <v>0</v>
      </c>
      <c r="N121" s="238">
        <f t="shared" si="34"/>
        <v>0</v>
      </c>
      <c r="O121" s="238">
        <f t="shared" si="34"/>
        <v>382700</v>
      </c>
      <c r="P121" s="238">
        <f t="shared" si="34"/>
        <v>233500</v>
      </c>
    </row>
    <row r="122" spans="1:16" ht="13.5" customHeight="1" x14ac:dyDescent="0.25">
      <c r="A122" s="243"/>
      <c r="B122" s="244" t="s">
        <v>162</v>
      </c>
      <c r="C122" s="109">
        <f>SUM('prog-6'!C178)</f>
        <v>271700</v>
      </c>
      <c r="D122" s="109">
        <f>SUM('prog-6'!D178)</f>
        <v>228000</v>
      </c>
      <c r="E122" s="109">
        <f>SUM('prog-6'!E178)</f>
        <v>0</v>
      </c>
      <c r="F122" s="109">
        <f>SUM('prog-6'!F178)</f>
        <v>0</v>
      </c>
      <c r="G122" s="109">
        <f>SUM('prog-6'!G178)</f>
        <v>0</v>
      </c>
      <c r="H122" s="109">
        <f>SUM('prog-6'!H178)</f>
        <v>0</v>
      </c>
      <c r="I122" s="109">
        <f>SUM('prog-6'!I178)</f>
        <v>11000</v>
      </c>
      <c r="J122" s="109">
        <f>SUM('prog-6'!J178)</f>
        <v>5500</v>
      </c>
      <c r="K122" s="109">
        <f>SUM('prog-6'!K178)</f>
        <v>100000</v>
      </c>
      <c r="L122" s="109">
        <f>SUM('prog-6'!L178)</f>
        <v>0</v>
      </c>
      <c r="M122" s="109">
        <f>SUM('prog-6'!M178)</f>
        <v>0</v>
      </c>
      <c r="N122" s="109">
        <f>SUM('prog-6'!N178)</f>
        <v>0</v>
      </c>
      <c r="O122" s="109">
        <f>SUM('prog-6'!O178)</f>
        <v>382700</v>
      </c>
      <c r="P122" s="109">
        <f>SUM('prog-6'!P178)</f>
        <v>233500</v>
      </c>
    </row>
    <row r="123" spans="1:16" ht="13.5" customHeight="1" x14ac:dyDescent="0.25">
      <c r="A123" s="236" t="s">
        <v>250</v>
      </c>
      <c r="B123" s="242" t="s">
        <v>34</v>
      </c>
      <c r="C123" s="238">
        <f>SUM(C124)</f>
        <v>197700</v>
      </c>
      <c r="D123" s="238">
        <f t="shared" ref="D123:P123" si="35">SUM(D124)</f>
        <v>193000</v>
      </c>
      <c r="E123" s="238">
        <f t="shared" si="35"/>
        <v>0</v>
      </c>
      <c r="F123" s="238">
        <f t="shared" si="35"/>
        <v>0</v>
      </c>
      <c r="G123" s="238">
        <f t="shared" si="35"/>
        <v>0</v>
      </c>
      <c r="H123" s="238">
        <f t="shared" si="35"/>
        <v>0</v>
      </c>
      <c r="I123" s="238">
        <f t="shared" si="35"/>
        <v>15000</v>
      </c>
      <c r="J123" s="238">
        <f t="shared" si="35"/>
        <v>0</v>
      </c>
      <c r="K123" s="238">
        <f t="shared" si="35"/>
        <v>0</v>
      </c>
      <c r="L123" s="238">
        <f t="shared" si="35"/>
        <v>0</v>
      </c>
      <c r="M123" s="238">
        <f t="shared" si="35"/>
        <v>647.05999999999995</v>
      </c>
      <c r="N123" s="238">
        <f t="shared" si="35"/>
        <v>0</v>
      </c>
      <c r="O123" s="238">
        <f t="shared" si="35"/>
        <v>213347.06</v>
      </c>
      <c r="P123" s="238">
        <f t="shared" si="35"/>
        <v>193000</v>
      </c>
    </row>
    <row r="124" spans="1:16" ht="13.5" customHeight="1" x14ac:dyDescent="0.25">
      <c r="A124" s="239"/>
      <c r="B124" s="244" t="s">
        <v>162</v>
      </c>
      <c r="C124" s="109">
        <f>SUM('prog-6'!C181)</f>
        <v>197700</v>
      </c>
      <c r="D124" s="109">
        <f>SUM('prog-6'!D181)</f>
        <v>193000</v>
      </c>
      <c r="E124" s="109">
        <f>SUM('prog-6'!E181)</f>
        <v>0</v>
      </c>
      <c r="F124" s="109">
        <f>SUM('prog-6'!F181)</f>
        <v>0</v>
      </c>
      <c r="G124" s="109">
        <f>SUM('prog-6'!G181)</f>
        <v>0</v>
      </c>
      <c r="H124" s="109">
        <f>SUM('prog-6'!H181)</f>
        <v>0</v>
      </c>
      <c r="I124" s="109">
        <f>SUM('prog-6'!I181)</f>
        <v>15000</v>
      </c>
      <c r="J124" s="109">
        <f>SUM('prog-6'!J181)</f>
        <v>0</v>
      </c>
      <c r="K124" s="109">
        <f>SUM('prog-6'!K181)</f>
        <v>0</v>
      </c>
      <c r="L124" s="109">
        <f>SUM('prog-6'!L181)</f>
        <v>0</v>
      </c>
      <c r="M124" s="109">
        <f>SUM('prog-6'!M181)</f>
        <v>647.05999999999995</v>
      </c>
      <c r="N124" s="109">
        <f>SUM('prog-6'!N181)</f>
        <v>0</v>
      </c>
      <c r="O124" s="109">
        <f>SUM('prog-6'!O181)</f>
        <v>213347.06</v>
      </c>
      <c r="P124" s="109">
        <f>SUM('prog-6'!P181)</f>
        <v>193000</v>
      </c>
    </row>
    <row r="125" spans="1:16" ht="13.5" customHeight="1" x14ac:dyDescent="0.25">
      <c r="A125" s="236" t="s">
        <v>251</v>
      </c>
      <c r="B125" s="242" t="s">
        <v>98</v>
      </c>
      <c r="C125" s="238">
        <f>SUM(C126:C127)</f>
        <v>1102500</v>
      </c>
      <c r="D125" s="238">
        <f t="shared" ref="D125:P125" si="36">SUM(D126:D127)</f>
        <v>1011000</v>
      </c>
      <c r="E125" s="238">
        <f t="shared" si="36"/>
        <v>272315</v>
      </c>
      <c r="F125" s="238">
        <f t="shared" si="36"/>
        <v>240374</v>
      </c>
      <c r="G125" s="238">
        <f t="shared" si="36"/>
        <v>218877.68</v>
      </c>
      <c r="H125" s="238">
        <f t="shared" si="36"/>
        <v>95000</v>
      </c>
      <c r="I125" s="238">
        <f t="shared" si="36"/>
        <v>612000</v>
      </c>
      <c r="J125" s="238">
        <f t="shared" si="36"/>
        <v>120000</v>
      </c>
      <c r="K125" s="238">
        <f t="shared" si="36"/>
        <v>53600</v>
      </c>
      <c r="L125" s="238">
        <f t="shared" si="36"/>
        <v>0</v>
      </c>
      <c r="M125" s="238">
        <f t="shared" si="36"/>
        <v>6355.64</v>
      </c>
      <c r="N125" s="238">
        <f t="shared" si="36"/>
        <v>0</v>
      </c>
      <c r="O125" s="238">
        <f t="shared" si="36"/>
        <v>2265648.3199999998</v>
      </c>
      <c r="P125" s="238">
        <f t="shared" si="36"/>
        <v>1466374</v>
      </c>
    </row>
    <row r="126" spans="1:16" ht="13.5" customHeight="1" x14ac:dyDescent="0.25">
      <c r="A126" s="239"/>
      <c r="B126" s="244" t="s">
        <v>142</v>
      </c>
      <c r="C126" s="109">
        <f>SUM('prog-6'!C149)</f>
        <v>0</v>
      </c>
      <c r="D126" s="109">
        <f>SUM('prog-6'!D149)</f>
        <v>0</v>
      </c>
      <c r="E126" s="109">
        <f>SUM('prog-6'!E149)</f>
        <v>0</v>
      </c>
      <c r="F126" s="109">
        <f>SUM('prog-6'!F149)</f>
        <v>0</v>
      </c>
      <c r="G126" s="109">
        <f>SUM('prog-6'!G149)</f>
        <v>118877.68</v>
      </c>
      <c r="H126" s="109">
        <f>SUM('prog-6'!H149)</f>
        <v>0</v>
      </c>
      <c r="I126" s="109">
        <f>SUM('prog-6'!I149)</f>
        <v>0</v>
      </c>
      <c r="J126" s="109">
        <f>SUM('prog-6'!J149)</f>
        <v>0</v>
      </c>
      <c r="K126" s="109">
        <f>SUM('prog-6'!K149)</f>
        <v>53600</v>
      </c>
      <c r="L126" s="109">
        <f>SUM('prog-6'!L149)</f>
        <v>0</v>
      </c>
      <c r="M126" s="109">
        <f>SUM('prog-6'!M149)</f>
        <v>0</v>
      </c>
      <c r="N126" s="109">
        <f>SUM('prog-6'!N149)</f>
        <v>0</v>
      </c>
      <c r="O126" s="109">
        <f>SUM('prog-6'!O149)</f>
        <v>172477.68</v>
      </c>
      <c r="P126" s="109">
        <f>SUM('prog-6'!P149)</f>
        <v>0</v>
      </c>
    </row>
    <row r="127" spans="1:16" ht="13.5" customHeight="1" x14ac:dyDescent="0.25">
      <c r="A127" s="239"/>
      <c r="B127" s="244" t="s">
        <v>296</v>
      </c>
      <c r="C127" s="109">
        <f>SUM('prog-6'!C218)</f>
        <v>1102500</v>
      </c>
      <c r="D127" s="109">
        <f>SUM('prog-6'!D218)</f>
        <v>1011000</v>
      </c>
      <c r="E127" s="109">
        <f>SUM('prog-6'!E218)</f>
        <v>272315</v>
      </c>
      <c r="F127" s="109">
        <f>SUM('prog-6'!F218)</f>
        <v>240374</v>
      </c>
      <c r="G127" s="109">
        <f>SUM('prog-6'!G218)</f>
        <v>100000</v>
      </c>
      <c r="H127" s="109">
        <f>SUM('prog-6'!H218)</f>
        <v>95000</v>
      </c>
      <c r="I127" s="109">
        <f>SUM('prog-6'!I218)</f>
        <v>612000</v>
      </c>
      <c r="J127" s="109">
        <f>SUM('prog-6'!J218)</f>
        <v>120000</v>
      </c>
      <c r="K127" s="109">
        <f>SUM('prog-6'!K218)</f>
        <v>0</v>
      </c>
      <c r="L127" s="109">
        <f>SUM('prog-6'!L218)</f>
        <v>0</v>
      </c>
      <c r="M127" s="109">
        <f>SUM('prog-6'!M218)</f>
        <v>6355.64</v>
      </c>
      <c r="N127" s="109">
        <f>SUM('prog-6'!N218)</f>
        <v>0</v>
      </c>
      <c r="O127" s="109">
        <f>SUM('prog-6'!O218)</f>
        <v>2093170.64</v>
      </c>
      <c r="P127" s="109">
        <f>SUM('prog-6'!P218)</f>
        <v>1466374</v>
      </c>
    </row>
    <row r="128" spans="1:16" ht="13.5" customHeight="1" x14ac:dyDescent="0.25">
      <c r="A128" s="236" t="s">
        <v>252</v>
      </c>
      <c r="B128" s="242" t="s">
        <v>364</v>
      </c>
      <c r="C128" s="238">
        <f>SUM(C129)</f>
        <v>985100</v>
      </c>
      <c r="D128" s="238">
        <f t="shared" ref="D128:P128" si="37">SUM(D129)</f>
        <v>485100</v>
      </c>
      <c r="E128" s="238">
        <f t="shared" si="37"/>
        <v>34092</v>
      </c>
      <c r="F128" s="238">
        <f t="shared" si="37"/>
        <v>33592</v>
      </c>
      <c r="G128" s="238">
        <f t="shared" si="37"/>
        <v>0</v>
      </c>
      <c r="H128" s="238">
        <f t="shared" si="37"/>
        <v>0</v>
      </c>
      <c r="I128" s="238">
        <f t="shared" si="37"/>
        <v>52000</v>
      </c>
      <c r="J128" s="238">
        <f t="shared" si="37"/>
        <v>0</v>
      </c>
      <c r="K128" s="238">
        <f t="shared" si="37"/>
        <v>0</v>
      </c>
      <c r="L128" s="238">
        <f t="shared" si="37"/>
        <v>0</v>
      </c>
      <c r="M128" s="238">
        <f t="shared" si="37"/>
        <v>0</v>
      </c>
      <c r="N128" s="238">
        <f t="shared" si="37"/>
        <v>0</v>
      </c>
      <c r="O128" s="238">
        <f t="shared" si="37"/>
        <v>1071192</v>
      </c>
      <c r="P128" s="238">
        <f t="shared" si="37"/>
        <v>518692</v>
      </c>
    </row>
    <row r="129" spans="1:16" ht="13.5" customHeight="1" x14ac:dyDescent="0.25">
      <c r="A129" s="239"/>
      <c r="B129" s="244" t="s">
        <v>296</v>
      </c>
      <c r="C129" s="109">
        <f>SUM('prog-6'!C223)</f>
        <v>985100</v>
      </c>
      <c r="D129" s="109">
        <f>SUM('prog-6'!D223)</f>
        <v>485100</v>
      </c>
      <c r="E129" s="109">
        <f>SUM('prog-6'!E223)</f>
        <v>34092</v>
      </c>
      <c r="F129" s="109">
        <f>SUM('prog-6'!F223)</f>
        <v>33592</v>
      </c>
      <c r="G129" s="109">
        <f>SUM('prog-6'!G223)</f>
        <v>0</v>
      </c>
      <c r="H129" s="109">
        <f>SUM('prog-6'!H223)</f>
        <v>0</v>
      </c>
      <c r="I129" s="109">
        <f>SUM('prog-6'!I223)</f>
        <v>52000</v>
      </c>
      <c r="J129" s="109">
        <f>SUM('prog-6'!J223)</f>
        <v>0</v>
      </c>
      <c r="K129" s="109">
        <f>SUM('prog-6'!K223)</f>
        <v>0</v>
      </c>
      <c r="L129" s="109">
        <f>SUM('prog-6'!L223)</f>
        <v>0</v>
      </c>
      <c r="M129" s="109">
        <f>SUM('prog-6'!M223)</f>
        <v>0</v>
      </c>
      <c r="N129" s="109">
        <f>SUM('prog-6'!N223)</f>
        <v>0</v>
      </c>
      <c r="O129" s="109">
        <f>SUM('prog-6'!O223)</f>
        <v>1071192</v>
      </c>
      <c r="P129" s="109">
        <f>SUM('prog-6'!P223)</f>
        <v>518692</v>
      </c>
    </row>
    <row r="130" spans="1:16" ht="13.5" customHeight="1" x14ac:dyDescent="0.25">
      <c r="A130" s="236" t="s">
        <v>253</v>
      </c>
      <c r="B130" s="242" t="s">
        <v>261</v>
      </c>
      <c r="C130" s="238">
        <f>SUM(C131)</f>
        <v>0</v>
      </c>
      <c r="D130" s="238">
        <f t="shared" ref="D130:P130" si="38">SUM(D131)</f>
        <v>0</v>
      </c>
      <c r="E130" s="238">
        <f t="shared" si="38"/>
        <v>278300</v>
      </c>
      <c r="F130" s="238">
        <f t="shared" si="38"/>
        <v>243500</v>
      </c>
      <c r="G130" s="238">
        <f t="shared" si="38"/>
        <v>0</v>
      </c>
      <c r="H130" s="238">
        <f t="shared" si="38"/>
        <v>0</v>
      </c>
      <c r="I130" s="238">
        <f t="shared" si="38"/>
        <v>5000</v>
      </c>
      <c r="J130" s="238">
        <f t="shared" si="38"/>
        <v>2000</v>
      </c>
      <c r="K130" s="238">
        <f t="shared" si="38"/>
        <v>0</v>
      </c>
      <c r="L130" s="238">
        <f t="shared" si="38"/>
        <v>0</v>
      </c>
      <c r="M130" s="238">
        <f t="shared" si="38"/>
        <v>4971.91</v>
      </c>
      <c r="N130" s="238">
        <f t="shared" si="38"/>
        <v>0</v>
      </c>
      <c r="O130" s="238">
        <f t="shared" si="38"/>
        <v>288271.90999999997</v>
      </c>
      <c r="P130" s="238">
        <f t="shared" si="38"/>
        <v>245500</v>
      </c>
    </row>
    <row r="131" spans="1:16" ht="13.5" customHeight="1" x14ac:dyDescent="0.25">
      <c r="A131" s="239"/>
      <c r="B131" s="244" t="s">
        <v>297</v>
      </c>
      <c r="C131" s="109">
        <f>SUM('prog-6'!C266)</f>
        <v>0</v>
      </c>
      <c r="D131" s="109">
        <f>SUM('prog-6'!D266)</f>
        <v>0</v>
      </c>
      <c r="E131" s="109">
        <f>SUM('prog-6'!E266)</f>
        <v>278300</v>
      </c>
      <c r="F131" s="109">
        <f>SUM('prog-6'!F266)</f>
        <v>243500</v>
      </c>
      <c r="G131" s="109">
        <f>SUM('prog-6'!G266)</f>
        <v>0</v>
      </c>
      <c r="H131" s="109">
        <f>SUM('prog-6'!H266)</f>
        <v>0</v>
      </c>
      <c r="I131" s="109">
        <f>SUM('prog-6'!I266)</f>
        <v>5000</v>
      </c>
      <c r="J131" s="109">
        <f>SUM('prog-6'!J266)</f>
        <v>2000</v>
      </c>
      <c r="K131" s="109">
        <f>SUM('prog-6'!K266)</f>
        <v>0</v>
      </c>
      <c r="L131" s="109">
        <f>SUM('prog-6'!L266)</f>
        <v>0</v>
      </c>
      <c r="M131" s="109">
        <f>SUM('prog-6'!M266)</f>
        <v>4971.91</v>
      </c>
      <c r="N131" s="109">
        <f>SUM('prog-6'!N266)</f>
        <v>0</v>
      </c>
      <c r="O131" s="109">
        <f>SUM('prog-6'!O266)</f>
        <v>288271.90999999997</v>
      </c>
      <c r="P131" s="109">
        <f>SUM('prog-6'!P266)</f>
        <v>245500</v>
      </c>
    </row>
    <row r="132" spans="1:16" ht="13.5" customHeight="1" x14ac:dyDescent="0.25">
      <c r="A132" s="236" t="s">
        <v>254</v>
      </c>
      <c r="B132" s="242" t="s">
        <v>333</v>
      </c>
      <c r="C132" s="238">
        <f>SUM(C133:C134)</f>
        <v>1340100</v>
      </c>
      <c r="D132" s="238">
        <f t="shared" ref="D132:P132" si="39">SUM(D133:D134)</f>
        <v>737700</v>
      </c>
      <c r="E132" s="238">
        <f t="shared" si="39"/>
        <v>637442</v>
      </c>
      <c r="F132" s="238">
        <f t="shared" si="39"/>
        <v>520800</v>
      </c>
      <c r="G132" s="238">
        <f t="shared" si="39"/>
        <v>0</v>
      </c>
      <c r="H132" s="238">
        <f t="shared" si="39"/>
        <v>0</v>
      </c>
      <c r="I132" s="238">
        <f t="shared" si="39"/>
        <v>140000</v>
      </c>
      <c r="J132" s="238">
        <f t="shared" si="39"/>
        <v>25000</v>
      </c>
      <c r="K132" s="238">
        <f t="shared" si="39"/>
        <v>0</v>
      </c>
      <c r="L132" s="238">
        <f t="shared" si="39"/>
        <v>0</v>
      </c>
      <c r="M132" s="238">
        <f t="shared" si="39"/>
        <v>4565.72</v>
      </c>
      <c r="N132" s="238">
        <f t="shared" si="39"/>
        <v>0</v>
      </c>
      <c r="O132" s="238">
        <f t="shared" si="39"/>
        <v>2122107.7199999997</v>
      </c>
      <c r="P132" s="238">
        <f t="shared" si="39"/>
        <v>1283500</v>
      </c>
    </row>
    <row r="133" spans="1:16" ht="13.5" customHeight="1" x14ac:dyDescent="0.25">
      <c r="A133" s="239"/>
      <c r="B133" s="244" t="s">
        <v>142</v>
      </c>
      <c r="C133" s="109">
        <f>SUM('prog-6'!C34)</f>
        <v>0</v>
      </c>
      <c r="D133" s="109">
        <f>SUM('prog-6'!D34)</f>
        <v>0</v>
      </c>
      <c r="E133" s="109">
        <f>SUM('prog-6'!E34)</f>
        <v>87000</v>
      </c>
      <c r="F133" s="109">
        <f>SUM('prog-6'!F34)</f>
        <v>22500</v>
      </c>
      <c r="G133" s="109">
        <f>SUM('prog-6'!G34)</f>
        <v>0</v>
      </c>
      <c r="H133" s="109">
        <f>SUM('prog-6'!H34)</f>
        <v>0</v>
      </c>
      <c r="I133" s="109">
        <f>SUM('prog-6'!I34)</f>
        <v>0</v>
      </c>
      <c r="J133" s="109">
        <f>SUM('prog-6'!J34)</f>
        <v>0</v>
      </c>
      <c r="K133" s="109">
        <f>SUM('prog-6'!K34)</f>
        <v>0</v>
      </c>
      <c r="L133" s="109">
        <f>SUM('prog-6'!L34)</f>
        <v>0</v>
      </c>
      <c r="M133" s="109">
        <f>SUM('prog-6'!M34)</f>
        <v>0</v>
      </c>
      <c r="N133" s="109">
        <f>SUM('prog-6'!N34)</f>
        <v>0</v>
      </c>
      <c r="O133" s="109">
        <f>SUM('prog-6'!O34)</f>
        <v>87000</v>
      </c>
      <c r="P133" s="109">
        <f>SUM('prog-6'!P34)</f>
        <v>22500</v>
      </c>
    </row>
    <row r="134" spans="1:16" ht="13.5" customHeight="1" x14ac:dyDescent="0.25">
      <c r="A134" s="239"/>
      <c r="B134" s="244" t="s">
        <v>296</v>
      </c>
      <c r="C134" s="109">
        <f>SUM('prog-6'!C228)</f>
        <v>1340100</v>
      </c>
      <c r="D134" s="109">
        <f>SUM('prog-6'!D228)</f>
        <v>737700</v>
      </c>
      <c r="E134" s="109">
        <f>SUM('prog-6'!E228)</f>
        <v>550442</v>
      </c>
      <c r="F134" s="109">
        <f>SUM('prog-6'!F228)</f>
        <v>498300</v>
      </c>
      <c r="G134" s="109">
        <f>SUM('prog-6'!G228)</f>
        <v>0</v>
      </c>
      <c r="H134" s="109">
        <f>SUM('prog-6'!H228)</f>
        <v>0</v>
      </c>
      <c r="I134" s="109">
        <f>SUM('prog-6'!I228)</f>
        <v>140000</v>
      </c>
      <c r="J134" s="109">
        <f>SUM('prog-6'!J228)</f>
        <v>25000</v>
      </c>
      <c r="K134" s="109">
        <f>SUM('prog-6'!K228)</f>
        <v>0</v>
      </c>
      <c r="L134" s="109">
        <f>SUM('prog-6'!L228)</f>
        <v>0</v>
      </c>
      <c r="M134" s="109">
        <f>SUM('prog-6'!M228)</f>
        <v>4565.72</v>
      </c>
      <c r="N134" s="109">
        <f>SUM('prog-6'!N228)</f>
        <v>0</v>
      </c>
      <c r="O134" s="109">
        <f>SUM('prog-6'!O228)</f>
        <v>2035107.72</v>
      </c>
      <c r="P134" s="109">
        <f>SUM('prog-6'!P228)</f>
        <v>1261000</v>
      </c>
    </row>
    <row r="135" spans="1:16" ht="13.5" customHeight="1" x14ac:dyDescent="0.25">
      <c r="A135" s="236" t="s">
        <v>255</v>
      </c>
      <c r="B135" s="242" t="s">
        <v>262</v>
      </c>
      <c r="C135" s="238">
        <f>SUM(C136)</f>
        <v>38400</v>
      </c>
      <c r="D135" s="238">
        <f t="shared" ref="D135:P135" si="40">SUM(D136)</f>
        <v>29300</v>
      </c>
      <c r="E135" s="238">
        <f t="shared" si="40"/>
        <v>837800</v>
      </c>
      <c r="F135" s="238">
        <f t="shared" si="40"/>
        <v>776000</v>
      </c>
      <c r="G135" s="238">
        <f t="shared" si="40"/>
        <v>0</v>
      </c>
      <c r="H135" s="238">
        <f t="shared" si="40"/>
        <v>0</v>
      </c>
      <c r="I135" s="238">
        <f t="shared" si="40"/>
        <v>0</v>
      </c>
      <c r="J135" s="238">
        <f t="shared" si="40"/>
        <v>0</v>
      </c>
      <c r="K135" s="238">
        <f t="shared" si="40"/>
        <v>0</v>
      </c>
      <c r="L135" s="238">
        <f t="shared" si="40"/>
        <v>0</v>
      </c>
      <c r="M135" s="238">
        <f t="shared" si="40"/>
        <v>0</v>
      </c>
      <c r="N135" s="238">
        <f t="shared" si="40"/>
        <v>0</v>
      </c>
      <c r="O135" s="238">
        <f t="shared" si="40"/>
        <v>876200</v>
      </c>
      <c r="P135" s="238">
        <f t="shared" si="40"/>
        <v>805300</v>
      </c>
    </row>
    <row r="136" spans="1:16" ht="13.5" customHeight="1" x14ac:dyDescent="0.25">
      <c r="A136" s="239"/>
      <c r="B136" s="244" t="s">
        <v>299</v>
      </c>
      <c r="C136" s="109">
        <f>SUM('prog-6'!C409)</f>
        <v>38400</v>
      </c>
      <c r="D136" s="109">
        <f>SUM('prog-6'!D409)</f>
        <v>29300</v>
      </c>
      <c r="E136" s="109">
        <f>SUM('prog-6'!E409)</f>
        <v>837800</v>
      </c>
      <c r="F136" s="109">
        <f>SUM('prog-6'!F409)</f>
        <v>776000</v>
      </c>
      <c r="G136" s="109">
        <f>SUM('prog-6'!G409)</f>
        <v>0</v>
      </c>
      <c r="H136" s="109">
        <f>SUM('prog-6'!H409)</f>
        <v>0</v>
      </c>
      <c r="I136" s="109">
        <f>SUM('prog-6'!I409)</f>
        <v>0</v>
      </c>
      <c r="J136" s="109">
        <f>SUM('prog-6'!J409)</f>
        <v>0</v>
      </c>
      <c r="K136" s="109">
        <f>SUM('prog-6'!K409)</f>
        <v>0</v>
      </c>
      <c r="L136" s="109">
        <f>SUM('prog-6'!L409)</f>
        <v>0</v>
      </c>
      <c r="M136" s="109">
        <f>SUM('prog-6'!M409)</f>
        <v>0</v>
      </c>
      <c r="N136" s="109">
        <f>SUM('prog-6'!N409)</f>
        <v>0</v>
      </c>
      <c r="O136" s="109">
        <f>SUM('prog-6'!O409)</f>
        <v>876200</v>
      </c>
      <c r="P136" s="109">
        <f>SUM('prog-6'!P409)</f>
        <v>805300</v>
      </c>
    </row>
    <row r="137" spans="1:16" ht="13.5" customHeight="1" x14ac:dyDescent="0.25">
      <c r="A137" s="236" t="s">
        <v>256</v>
      </c>
      <c r="B137" s="246" t="s">
        <v>530</v>
      </c>
      <c r="C137" s="238">
        <f>SUM(C138)</f>
        <v>326200</v>
      </c>
      <c r="D137" s="238">
        <f t="shared" ref="D137:P137" si="41">SUM(D138)</f>
        <v>303500</v>
      </c>
      <c r="E137" s="238">
        <f t="shared" si="41"/>
        <v>0</v>
      </c>
      <c r="F137" s="238">
        <f t="shared" si="41"/>
        <v>0</v>
      </c>
      <c r="G137" s="238">
        <f t="shared" si="41"/>
        <v>0</v>
      </c>
      <c r="H137" s="238">
        <f t="shared" si="41"/>
        <v>0</v>
      </c>
      <c r="I137" s="238">
        <f t="shared" si="41"/>
        <v>0</v>
      </c>
      <c r="J137" s="238">
        <f t="shared" si="41"/>
        <v>0</v>
      </c>
      <c r="K137" s="238">
        <f t="shared" si="41"/>
        <v>0</v>
      </c>
      <c r="L137" s="238">
        <f t="shared" si="41"/>
        <v>0</v>
      </c>
      <c r="M137" s="238">
        <f t="shared" si="41"/>
        <v>0</v>
      </c>
      <c r="N137" s="238">
        <f t="shared" si="41"/>
        <v>0</v>
      </c>
      <c r="O137" s="238">
        <f t="shared" si="41"/>
        <v>326200</v>
      </c>
      <c r="P137" s="238">
        <f t="shared" si="41"/>
        <v>303500</v>
      </c>
    </row>
    <row r="138" spans="1:16" ht="13.5" customHeight="1" x14ac:dyDescent="0.25">
      <c r="A138" s="239"/>
      <c r="B138" s="244" t="s">
        <v>299</v>
      </c>
      <c r="C138" s="109">
        <f>SUM('prog-6'!C408)</f>
        <v>326200</v>
      </c>
      <c r="D138" s="109">
        <f>SUM('prog-6'!D408)</f>
        <v>303500</v>
      </c>
      <c r="E138" s="109">
        <f>SUM('prog-6'!E408)</f>
        <v>0</v>
      </c>
      <c r="F138" s="109">
        <f>SUM('prog-6'!F408)</f>
        <v>0</v>
      </c>
      <c r="G138" s="109">
        <f>SUM('prog-6'!G408)</f>
        <v>0</v>
      </c>
      <c r="H138" s="109">
        <f>SUM('prog-6'!H408)</f>
        <v>0</v>
      </c>
      <c r="I138" s="109">
        <f>SUM('prog-6'!I408)</f>
        <v>0</v>
      </c>
      <c r="J138" s="109">
        <f>SUM('prog-6'!J408)</f>
        <v>0</v>
      </c>
      <c r="K138" s="109">
        <f>SUM('prog-6'!K408)</f>
        <v>0</v>
      </c>
      <c r="L138" s="109">
        <f>SUM('prog-6'!L408)</f>
        <v>0</v>
      </c>
      <c r="M138" s="109">
        <f>SUM('prog-6'!M408)</f>
        <v>0</v>
      </c>
      <c r="N138" s="109">
        <f>SUM('prog-6'!N408)</f>
        <v>0</v>
      </c>
      <c r="O138" s="109">
        <f>SUM('prog-6'!O408)</f>
        <v>326200</v>
      </c>
      <c r="P138" s="109">
        <f>SUM('prog-6'!P408)</f>
        <v>303500</v>
      </c>
    </row>
    <row r="139" spans="1:16" ht="18.75" customHeight="1" x14ac:dyDescent="0.25">
      <c r="A139" s="247" t="s">
        <v>257</v>
      </c>
      <c r="B139" s="248" t="s">
        <v>263</v>
      </c>
      <c r="C139" s="249">
        <f t="shared" ref="C139:P139" si="42">SUM(C12,C14,C22,C26,C30,C34,C38,C42,C46,C50,C54,C58,C62,C66,C69,C72,C75,C78,C81,C84,C86,C89,C92,C95,C98,C101,C104,C106,C108,C111,C113,C115,C117,C119,C121,C123,C125,C128,C130,C132,C135,C137)</f>
        <v>26473000</v>
      </c>
      <c r="D139" s="249">
        <f t="shared" si="42"/>
        <v>14555848.23</v>
      </c>
      <c r="E139" s="249">
        <f t="shared" si="42"/>
        <v>14387228.1</v>
      </c>
      <c r="F139" s="249">
        <f t="shared" si="42"/>
        <v>11552370.77</v>
      </c>
      <c r="G139" s="249">
        <f t="shared" si="42"/>
        <v>831030.04</v>
      </c>
      <c r="H139" s="249">
        <f t="shared" si="42"/>
        <v>105173.07</v>
      </c>
      <c r="I139" s="249">
        <f t="shared" si="42"/>
        <v>1281400</v>
      </c>
      <c r="J139" s="249">
        <f t="shared" si="42"/>
        <v>152500</v>
      </c>
      <c r="K139" s="249">
        <f t="shared" si="42"/>
        <v>3948215.83</v>
      </c>
      <c r="L139" s="249">
        <f t="shared" si="42"/>
        <v>0</v>
      </c>
      <c r="M139" s="249">
        <f t="shared" si="42"/>
        <v>3660928.4900000007</v>
      </c>
      <c r="N139" s="249">
        <f t="shared" si="42"/>
        <v>2621.27</v>
      </c>
      <c r="O139" s="249">
        <f t="shared" si="42"/>
        <v>50581802.460000001</v>
      </c>
      <c r="P139" s="249">
        <f t="shared" si="42"/>
        <v>26368513.34</v>
      </c>
    </row>
    <row r="140" spans="1:16" ht="26.4" x14ac:dyDescent="0.25">
      <c r="A140" s="85" t="s">
        <v>258</v>
      </c>
      <c r="B140" s="250" t="s">
        <v>330</v>
      </c>
      <c r="C140" s="109">
        <f>SUM('prog-6'!C412)</f>
        <v>0</v>
      </c>
      <c r="D140" s="109">
        <f>SUM('prog-6'!D412)</f>
        <v>0</v>
      </c>
      <c r="E140" s="109">
        <f>SUM('prog-6'!E412)</f>
        <v>0</v>
      </c>
      <c r="F140" s="109">
        <f>SUM('prog-6'!F412)</f>
        <v>0</v>
      </c>
      <c r="G140" s="109">
        <f>SUM('prog-6'!G412)</f>
        <v>0</v>
      </c>
      <c r="H140" s="109">
        <f>SUM('prog-6'!H412)</f>
        <v>0</v>
      </c>
      <c r="I140" s="109">
        <f>SUM('prog-6'!I412)</f>
        <v>0</v>
      </c>
      <c r="J140" s="109">
        <f>SUM('prog-6'!J412)</f>
        <v>0</v>
      </c>
      <c r="K140" s="109">
        <f>SUM('prog-6'!K412)</f>
        <v>0</v>
      </c>
      <c r="L140" s="109">
        <f>SUM('prog-6'!L412)</f>
        <v>0</v>
      </c>
      <c r="M140" s="109">
        <f>SUM('prog-6'!M412)</f>
        <v>866680.24</v>
      </c>
      <c r="N140" s="109">
        <f>SUM('prog-6'!N412)</f>
        <v>0</v>
      </c>
      <c r="O140" s="109">
        <f>SUM('prog-6'!O412)</f>
        <v>866680.24</v>
      </c>
      <c r="P140" s="109">
        <f>SUM('prog-6'!P412)</f>
        <v>0</v>
      </c>
    </row>
    <row r="141" spans="1:16" x14ac:dyDescent="0.25">
      <c r="A141" s="251" t="s">
        <v>259</v>
      </c>
      <c r="B141" s="252" t="s">
        <v>472</v>
      </c>
      <c r="C141" s="253">
        <f>C139-C140</f>
        <v>26473000</v>
      </c>
      <c r="D141" s="253">
        <f>D139-D140</f>
        <v>14555848.23</v>
      </c>
      <c r="E141" s="253">
        <f>E139-E140</f>
        <v>14387228.1</v>
      </c>
      <c r="F141" s="253">
        <f>F139-F140</f>
        <v>11552370.77</v>
      </c>
      <c r="G141" s="253">
        <f t="shared" ref="G141:P141" si="43">G139-G140</f>
        <v>831030.04</v>
      </c>
      <c r="H141" s="253">
        <f t="shared" si="43"/>
        <v>105173.07</v>
      </c>
      <c r="I141" s="253">
        <f t="shared" si="43"/>
        <v>1281400</v>
      </c>
      <c r="J141" s="253">
        <f t="shared" si="43"/>
        <v>152500</v>
      </c>
      <c r="K141" s="253">
        <f t="shared" si="43"/>
        <v>3948215.83</v>
      </c>
      <c r="L141" s="253">
        <f t="shared" si="43"/>
        <v>0</v>
      </c>
      <c r="M141" s="253">
        <f t="shared" si="43"/>
        <v>2794248.2500000009</v>
      </c>
      <c r="N141" s="253">
        <f t="shared" si="43"/>
        <v>2621.27</v>
      </c>
      <c r="O141" s="253">
        <f t="shared" si="43"/>
        <v>49715122.219999999</v>
      </c>
      <c r="P141" s="253">
        <f t="shared" si="43"/>
        <v>26368513.34</v>
      </c>
    </row>
    <row r="142" spans="1:16" x14ac:dyDescent="0.25"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</row>
    <row r="144" spans="1:16" x14ac:dyDescent="0.25">
      <c r="H144" s="62"/>
      <c r="I144" s="62"/>
      <c r="J144" s="62"/>
    </row>
  </sheetData>
  <mergeCells count="24">
    <mergeCell ref="A5:P5"/>
    <mergeCell ref="I7:J8"/>
    <mergeCell ref="K7:L8"/>
    <mergeCell ref="M7:N8"/>
    <mergeCell ref="A7:A10"/>
    <mergeCell ref="B7:B10"/>
    <mergeCell ref="C7:D8"/>
    <mergeCell ref="E7:F8"/>
    <mergeCell ref="G7:H8"/>
    <mergeCell ref="O7:P8"/>
    <mergeCell ref="C9:C10"/>
    <mergeCell ref="D9:D10"/>
    <mergeCell ref="E9:E10"/>
    <mergeCell ref="F9:F10"/>
    <mergeCell ref="G9:G10"/>
    <mergeCell ref="H9:H10"/>
    <mergeCell ref="N9:N10"/>
    <mergeCell ref="O9:O10"/>
    <mergeCell ref="P9:P10"/>
    <mergeCell ref="I9:I10"/>
    <mergeCell ref="J9:J10"/>
    <mergeCell ref="K9:K10"/>
    <mergeCell ref="L9:L10"/>
    <mergeCell ref="M9:M10"/>
  </mergeCells>
  <phoneticPr fontId="2" type="noConversion"/>
  <pageMargins left="0.44" right="0.19" top="0.83" bottom="0.38" header="0.5" footer="0.26"/>
  <pageSetup paperSize="9" scale="72" fitToHeight="0" orientation="landscape" horizontalDpi="4294967295" verticalDpi="4294967295" r:id="rId1"/>
  <headerFooter alignWithMargins="0"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15"/>
  <sheetViews>
    <sheetView tabSelected="1" topLeftCell="A97" zoomScaleNormal="100" workbookViewId="0">
      <selection activeCell="E396" sqref="E396"/>
    </sheetView>
  </sheetViews>
  <sheetFormatPr defaultColWidth="9.109375" defaultRowHeight="13.2" x14ac:dyDescent="0.25"/>
  <cols>
    <col min="1" max="1" width="3.44140625" style="52" customWidth="1"/>
    <col min="2" max="2" width="44.109375" style="53" customWidth="1"/>
    <col min="3" max="3" width="10.88671875" style="53" customWidth="1"/>
    <col min="4" max="4" width="10.44140625" style="53" customWidth="1"/>
    <col min="5" max="5" width="9.6640625" style="53" customWidth="1"/>
    <col min="6" max="6" width="12.109375" style="53" customWidth="1"/>
    <col min="7" max="7" width="10.109375" style="53" customWidth="1"/>
    <col min="8" max="8" width="11.6640625" style="53" customWidth="1"/>
    <col min="9" max="10" width="8.88671875" style="53" customWidth="1"/>
    <col min="11" max="11" width="9.5546875" style="53" customWidth="1"/>
    <col min="12" max="12" width="6" style="53" customWidth="1"/>
    <col min="13" max="14" width="10" style="53" customWidth="1"/>
    <col min="15" max="15" width="11.5546875" style="53" customWidth="1"/>
    <col min="16" max="16" width="9.88671875" style="53" customWidth="1"/>
    <col min="17" max="16384" width="9.109375" style="53"/>
  </cols>
  <sheetData>
    <row r="1" spans="1:16" x14ac:dyDescent="0.25">
      <c r="K1" t="s">
        <v>49</v>
      </c>
      <c r="O1"/>
    </row>
    <row r="2" spans="1:16" x14ac:dyDescent="0.25">
      <c r="K2" s="73" t="s">
        <v>489</v>
      </c>
      <c r="O2" s="73"/>
    </row>
    <row r="3" spans="1:16" x14ac:dyDescent="0.25">
      <c r="K3" s="73" t="s">
        <v>528</v>
      </c>
      <c r="O3" s="73"/>
    </row>
    <row r="4" spans="1:16" ht="12.75" customHeight="1" x14ac:dyDescent="0.25"/>
    <row r="5" spans="1:16" ht="15" customHeight="1" x14ac:dyDescent="0.25">
      <c r="A5" s="308" t="s">
        <v>529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</row>
    <row r="6" spans="1:16" ht="4.2" customHeight="1" x14ac:dyDescent="0.25">
      <c r="A6" s="308"/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</row>
    <row r="7" spans="1:16" ht="11.25" customHeight="1" thickBot="1" x14ac:dyDescent="0.3"/>
    <row r="8" spans="1:16" ht="12.75" customHeight="1" x14ac:dyDescent="0.25">
      <c r="A8" s="350" t="s">
        <v>47</v>
      </c>
      <c r="B8" s="318" t="s">
        <v>138</v>
      </c>
      <c r="C8" s="320" t="s">
        <v>120</v>
      </c>
      <c r="D8" s="321"/>
      <c r="E8" s="320" t="s">
        <v>455</v>
      </c>
      <c r="F8" s="321"/>
      <c r="G8" s="320" t="s">
        <v>481</v>
      </c>
      <c r="H8" s="326"/>
      <c r="I8" s="320" t="s">
        <v>121</v>
      </c>
      <c r="J8" s="326"/>
      <c r="K8" s="312" t="s">
        <v>122</v>
      </c>
      <c r="L8" s="313"/>
      <c r="M8" s="321" t="s">
        <v>454</v>
      </c>
      <c r="N8" s="326"/>
      <c r="O8" s="312" t="s">
        <v>123</v>
      </c>
      <c r="P8" s="313"/>
    </row>
    <row r="9" spans="1:16" ht="40.799999999999997" customHeight="1" thickBot="1" x14ac:dyDescent="0.3">
      <c r="A9" s="311"/>
      <c r="B9" s="319"/>
      <c r="C9" s="322"/>
      <c r="D9" s="323"/>
      <c r="E9" s="322"/>
      <c r="F9" s="323"/>
      <c r="G9" s="322"/>
      <c r="H9" s="327"/>
      <c r="I9" s="322"/>
      <c r="J9" s="327"/>
      <c r="K9" s="314"/>
      <c r="L9" s="315"/>
      <c r="M9" s="323"/>
      <c r="N9" s="327"/>
      <c r="O9" s="314"/>
      <c r="P9" s="315"/>
    </row>
    <row r="10" spans="1:16" ht="13.2" customHeight="1" x14ac:dyDescent="0.25">
      <c r="A10" s="311"/>
      <c r="B10" s="319"/>
      <c r="C10" s="316" t="s">
        <v>27</v>
      </c>
      <c r="D10" s="324" t="s">
        <v>57</v>
      </c>
      <c r="E10" s="316" t="s">
        <v>27</v>
      </c>
      <c r="F10" s="324" t="s">
        <v>57</v>
      </c>
      <c r="G10" s="316" t="s">
        <v>27</v>
      </c>
      <c r="H10" s="324" t="s">
        <v>57</v>
      </c>
      <c r="I10" s="316" t="s">
        <v>27</v>
      </c>
      <c r="J10" s="324" t="s">
        <v>57</v>
      </c>
      <c r="K10" s="316" t="s">
        <v>27</v>
      </c>
      <c r="L10" s="324" t="s">
        <v>57</v>
      </c>
      <c r="M10" s="316" t="s">
        <v>27</v>
      </c>
      <c r="N10" s="324" t="s">
        <v>57</v>
      </c>
      <c r="O10" s="316" t="s">
        <v>27</v>
      </c>
      <c r="P10" s="324" t="s">
        <v>57</v>
      </c>
    </row>
    <row r="11" spans="1:16" ht="42" customHeight="1" thickBot="1" x14ac:dyDescent="0.3">
      <c r="A11" s="351"/>
      <c r="B11" s="319"/>
      <c r="C11" s="317"/>
      <c r="D11" s="325"/>
      <c r="E11" s="317"/>
      <c r="F11" s="325"/>
      <c r="G11" s="317"/>
      <c r="H11" s="325"/>
      <c r="I11" s="317"/>
      <c r="J11" s="325"/>
      <c r="K11" s="317"/>
      <c r="L11" s="325"/>
      <c r="M11" s="317"/>
      <c r="N11" s="325"/>
      <c r="O11" s="317"/>
      <c r="P11" s="325"/>
    </row>
    <row r="12" spans="1:16" s="59" customFormat="1" ht="9.75" customHeight="1" thickBot="1" x14ac:dyDescent="0.25">
      <c r="A12" s="54" t="s">
        <v>124</v>
      </c>
      <c r="B12" s="55">
        <v>2</v>
      </c>
      <c r="C12" s="56">
        <v>3</v>
      </c>
      <c r="D12" s="57">
        <v>4</v>
      </c>
      <c r="E12" s="56">
        <v>5</v>
      </c>
      <c r="F12" s="57">
        <v>6</v>
      </c>
      <c r="G12" s="206">
        <v>7</v>
      </c>
      <c r="H12" s="206">
        <v>8</v>
      </c>
      <c r="I12" s="56">
        <v>9</v>
      </c>
      <c r="J12" s="57">
        <v>10</v>
      </c>
      <c r="K12" s="58">
        <v>11</v>
      </c>
      <c r="L12" s="57">
        <v>12</v>
      </c>
      <c r="M12" s="206">
        <v>13</v>
      </c>
      <c r="N12" s="206">
        <v>14</v>
      </c>
      <c r="O12" s="58">
        <v>15</v>
      </c>
      <c r="P12" s="223">
        <v>16</v>
      </c>
    </row>
    <row r="13" spans="1:16" ht="15.75" customHeight="1" thickBot="1" x14ac:dyDescent="0.3">
      <c r="A13" s="335" t="s">
        <v>131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7"/>
    </row>
    <row r="14" spans="1:16" x14ac:dyDescent="0.25">
      <c r="A14" s="143"/>
      <c r="B14" s="144" t="s">
        <v>125</v>
      </c>
      <c r="C14" s="123">
        <f t="shared" ref="C14:N14" si="0">SUM(C15:C31)</f>
        <v>633800</v>
      </c>
      <c r="D14" s="213">
        <f t="shared" si="0"/>
        <v>0</v>
      </c>
      <c r="E14" s="123">
        <f t="shared" si="0"/>
        <v>253000</v>
      </c>
      <c r="F14" s="213">
        <f t="shared" si="0"/>
        <v>0</v>
      </c>
      <c r="G14" s="123">
        <f t="shared" si="0"/>
        <v>1629.11</v>
      </c>
      <c r="H14" s="213">
        <f t="shared" si="0"/>
        <v>0</v>
      </c>
      <c r="I14" s="123">
        <f t="shared" si="0"/>
        <v>0</v>
      </c>
      <c r="J14" s="213">
        <f t="shared" si="0"/>
        <v>0</v>
      </c>
      <c r="K14" s="123">
        <f t="shared" si="0"/>
        <v>25000</v>
      </c>
      <c r="L14" s="213">
        <f t="shared" si="0"/>
        <v>0</v>
      </c>
      <c r="M14" s="123">
        <f t="shared" si="0"/>
        <v>11993.11</v>
      </c>
      <c r="N14" s="213">
        <f t="shared" si="0"/>
        <v>0</v>
      </c>
      <c r="O14" s="123">
        <f>C14+E14+G14+I14+K14+M14</f>
        <v>925422.22</v>
      </c>
      <c r="P14" s="156">
        <f>D14+F14+H14+J14+L14+N14</f>
        <v>0</v>
      </c>
    </row>
    <row r="15" spans="1:16" ht="15.75" customHeight="1" x14ac:dyDescent="0.25">
      <c r="A15" s="145" t="s">
        <v>60</v>
      </c>
      <c r="B15" s="146" t="s">
        <v>132</v>
      </c>
      <c r="C15" s="108">
        <v>65000</v>
      </c>
      <c r="D15" s="122"/>
      <c r="E15" s="108"/>
      <c r="F15" s="122"/>
      <c r="G15" s="139"/>
      <c r="H15" s="214"/>
      <c r="I15" s="108"/>
      <c r="J15" s="122"/>
      <c r="K15" s="108"/>
      <c r="L15" s="122"/>
      <c r="M15" s="108"/>
      <c r="N15" s="207"/>
      <c r="O15" s="160">
        <f>C15+E15+G15+I15+K15+M15</f>
        <v>65000</v>
      </c>
      <c r="P15" s="131">
        <f>D15+F15+H15+J15+L15+N15</f>
        <v>0</v>
      </c>
    </row>
    <row r="16" spans="1:16" ht="24" customHeight="1" x14ac:dyDescent="0.25">
      <c r="A16" s="145" t="s">
        <v>60</v>
      </c>
      <c r="B16" s="146" t="s">
        <v>500</v>
      </c>
      <c r="C16" s="108">
        <v>82000</v>
      </c>
      <c r="D16" s="122"/>
      <c r="E16" s="108"/>
      <c r="F16" s="122"/>
      <c r="G16" s="108"/>
      <c r="H16" s="214"/>
      <c r="I16" s="108"/>
      <c r="J16" s="122"/>
      <c r="K16" s="108"/>
      <c r="L16" s="122"/>
      <c r="M16" s="108"/>
      <c r="N16" s="207"/>
      <c r="O16" s="160">
        <f t="shared" ref="O16:O17" si="1">C16+E16+G16+I16+K16+M16</f>
        <v>82000</v>
      </c>
      <c r="P16" s="131"/>
    </row>
    <row r="17" spans="1:16" ht="27" customHeight="1" x14ac:dyDescent="0.25">
      <c r="A17" s="145" t="s">
        <v>60</v>
      </c>
      <c r="B17" s="146" t="s">
        <v>501</v>
      </c>
      <c r="C17" s="108">
        <v>20000</v>
      </c>
      <c r="D17" s="122"/>
      <c r="E17" s="108"/>
      <c r="F17" s="122"/>
      <c r="G17" s="108"/>
      <c r="H17" s="214"/>
      <c r="I17" s="108"/>
      <c r="J17" s="122"/>
      <c r="K17" s="108"/>
      <c r="L17" s="122"/>
      <c r="M17" s="108"/>
      <c r="N17" s="207"/>
      <c r="O17" s="160">
        <f t="shared" si="1"/>
        <v>20000</v>
      </c>
      <c r="P17" s="131"/>
    </row>
    <row r="18" spans="1:16" ht="24.6" customHeight="1" x14ac:dyDescent="0.25">
      <c r="A18" s="145" t="s">
        <v>60</v>
      </c>
      <c r="B18" s="275" t="s">
        <v>502</v>
      </c>
      <c r="C18" s="108">
        <v>85000</v>
      </c>
      <c r="D18" s="122"/>
      <c r="E18" s="108"/>
      <c r="F18" s="122"/>
      <c r="G18" s="108"/>
      <c r="H18" s="214"/>
      <c r="I18" s="108"/>
      <c r="J18" s="122"/>
      <c r="K18" s="108"/>
      <c r="L18" s="122"/>
      <c r="M18" s="108"/>
      <c r="N18" s="207"/>
      <c r="O18" s="160">
        <f t="shared" ref="O18:O31" si="2">C18+E18+G18+I18+K18+M18</f>
        <v>85000</v>
      </c>
      <c r="P18" s="131">
        <f t="shared" ref="P18:P31" si="3">D18+F18+H18+J18+L18+N18</f>
        <v>0</v>
      </c>
    </row>
    <row r="19" spans="1:16" ht="15" customHeight="1" x14ac:dyDescent="0.25">
      <c r="A19" s="148" t="s">
        <v>60</v>
      </c>
      <c r="B19" s="146" t="s">
        <v>140</v>
      </c>
      <c r="C19" s="108">
        <v>25000</v>
      </c>
      <c r="D19" s="122"/>
      <c r="E19" s="108"/>
      <c r="F19" s="122"/>
      <c r="G19" s="108"/>
      <c r="H19" s="214"/>
      <c r="I19" s="108"/>
      <c r="J19" s="122"/>
      <c r="K19" s="108"/>
      <c r="L19" s="122"/>
      <c r="M19" s="108"/>
      <c r="N19" s="207"/>
      <c r="O19" s="160">
        <f t="shared" si="2"/>
        <v>25000</v>
      </c>
      <c r="P19" s="131">
        <f t="shared" si="3"/>
        <v>0</v>
      </c>
    </row>
    <row r="20" spans="1:16" ht="24" customHeight="1" x14ac:dyDescent="0.25">
      <c r="A20" s="145" t="s">
        <v>60</v>
      </c>
      <c r="B20" s="146" t="s">
        <v>503</v>
      </c>
      <c r="C20" s="108">
        <v>50000</v>
      </c>
      <c r="D20" s="122"/>
      <c r="E20" s="108"/>
      <c r="F20" s="122"/>
      <c r="G20" s="108"/>
      <c r="H20" s="214"/>
      <c r="I20" s="108"/>
      <c r="J20" s="122"/>
      <c r="K20" s="108"/>
      <c r="L20" s="122"/>
      <c r="M20" s="108"/>
      <c r="N20" s="207"/>
      <c r="O20" s="160">
        <f t="shared" si="2"/>
        <v>50000</v>
      </c>
      <c r="P20" s="131">
        <f t="shared" si="3"/>
        <v>0</v>
      </c>
    </row>
    <row r="21" spans="1:16" ht="24.75" customHeight="1" x14ac:dyDescent="0.25">
      <c r="A21" s="148" t="s">
        <v>60</v>
      </c>
      <c r="B21" s="146" t="s">
        <v>474</v>
      </c>
      <c r="C21" s="108">
        <v>9400</v>
      </c>
      <c r="D21" s="122"/>
      <c r="E21" s="108"/>
      <c r="F21" s="122"/>
      <c r="G21" s="108"/>
      <c r="H21" s="214"/>
      <c r="I21" s="108"/>
      <c r="J21" s="122"/>
      <c r="K21" s="108"/>
      <c r="L21" s="122"/>
      <c r="M21" s="108"/>
      <c r="N21" s="207"/>
      <c r="O21" s="160">
        <f t="shared" si="2"/>
        <v>9400</v>
      </c>
      <c r="P21" s="131">
        <f t="shared" si="3"/>
        <v>0</v>
      </c>
    </row>
    <row r="22" spans="1:16" ht="12.75" customHeight="1" x14ac:dyDescent="0.25">
      <c r="A22" s="149" t="s">
        <v>60</v>
      </c>
      <c r="B22" s="146" t="s">
        <v>25</v>
      </c>
      <c r="C22" s="108"/>
      <c r="D22" s="140"/>
      <c r="E22" s="108">
        <v>253000</v>
      </c>
      <c r="F22" s="140"/>
      <c r="G22" s="108"/>
      <c r="H22" s="214"/>
      <c r="I22" s="108"/>
      <c r="J22" s="140"/>
      <c r="K22" s="108"/>
      <c r="L22" s="140"/>
      <c r="M22" s="108"/>
      <c r="N22" s="207"/>
      <c r="O22" s="160">
        <f t="shared" si="2"/>
        <v>253000</v>
      </c>
      <c r="P22" s="131">
        <f t="shared" si="3"/>
        <v>0</v>
      </c>
    </row>
    <row r="23" spans="1:16" ht="14.25" customHeight="1" x14ac:dyDescent="0.25">
      <c r="A23" s="148" t="s">
        <v>60</v>
      </c>
      <c r="B23" s="146" t="s">
        <v>141</v>
      </c>
      <c r="C23" s="108">
        <v>25000</v>
      </c>
      <c r="D23" s="122"/>
      <c r="E23" s="108"/>
      <c r="F23" s="122"/>
      <c r="G23" s="108"/>
      <c r="H23" s="214"/>
      <c r="I23" s="108"/>
      <c r="J23" s="122"/>
      <c r="K23" s="108"/>
      <c r="L23" s="122"/>
      <c r="M23" s="108"/>
      <c r="N23" s="207"/>
      <c r="O23" s="160">
        <f t="shared" si="2"/>
        <v>25000</v>
      </c>
      <c r="P23" s="131">
        <f t="shared" si="3"/>
        <v>0</v>
      </c>
    </row>
    <row r="24" spans="1:16" ht="15.75" customHeight="1" x14ac:dyDescent="0.25">
      <c r="A24" s="148" t="s">
        <v>60</v>
      </c>
      <c r="B24" s="146" t="s">
        <v>504</v>
      </c>
      <c r="C24" s="108">
        <v>30000</v>
      </c>
      <c r="D24" s="122"/>
      <c r="E24" s="108"/>
      <c r="F24" s="122"/>
      <c r="G24" s="108"/>
      <c r="H24" s="214"/>
      <c r="I24" s="108"/>
      <c r="J24" s="122"/>
      <c r="K24" s="108"/>
      <c r="L24" s="122"/>
      <c r="M24" s="108"/>
      <c r="N24" s="207"/>
      <c r="O24" s="160">
        <f t="shared" ref="O24" si="4">C24+E24+G24+I24+K24+M24</f>
        <v>30000</v>
      </c>
      <c r="P24" s="131">
        <f t="shared" ref="P24" si="5">D24+F24+H24+J24+L24+N24</f>
        <v>0</v>
      </c>
    </row>
    <row r="25" spans="1:16" ht="15.75" customHeight="1" x14ac:dyDescent="0.25">
      <c r="A25" s="148" t="s">
        <v>60</v>
      </c>
      <c r="B25" s="146" t="s">
        <v>133</v>
      </c>
      <c r="C25" s="108">
        <v>71000</v>
      </c>
      <c r="D25" s="122"/>
      <c r="E25" s="108"/>
      <c r="F25" s="122"/>
      <c r="G25" s="108"/>
      <c r="H25" s="214"/>
      <c r="I25" s="108"/>
      <c r="J25" s="122"/>
      <c r="K25" s="108"/>
      <c r="L25" s="122"/>
      <c r="M25" s="108"/>
      <c r="N25" s="207"/>
      <c r="O25" s="160">
        <f t="shared" si="2"/>
        <v>71000</v>
      </c>
      <c r="P25" s="131">
        <f t="shared" si="3"/>
        <v>0</v>
      </c>
    </row>
    <row r="26" spans="1:16" ht="25.2" customHeight="1" x14ac:dyDescent="0.25">
      <c r="A26" s="148" t="s">
        <v>60</v>
      </c>
      <c r="B26" s="146" t="s">
        <v>505</v>
      </c>
      <c r="C26" s="108">
        <v>21400</v>
      </c>
      <c r="D26" s="122"/>
      <c r="E26" s="108"/>
      <c r="F26" s="122"/>
      <c r="G26" s="108"/>
      <c r="H26" s="214"/>
      <c r="I26" s="108"/>
      <c r="J26" s="122"/>
      <c r="K26" s="108"/>
      <c r="L26" s="122"/>
      <c r="M26" s="108"/>
      <c r="N26" s="207"/>
      <c r="O26" s="160">
        <f t="shared" si="2"/>
        <v>21400</v>
      </c>
      <c r="P26" s="131"/>
    </row>
    <row r="27" spans="1:16" ht="14.25" customHeight="1" x14ac:dyDescent="0.25">
      <c r="A27" s="148" t="s">
        <v>63</v>
      </c>
      <c r="B27" s="146" t="s">
        <v>134</v>
      </c>
      <c r="C27" s="108">
        <v>10000</v>
      </c>
      <c r="D27" s="122"/>
      <c r="E27" s="108"/>
      <c r="F27" s="122"/>
      <c r="G27" s="108"/>
      <c r="H27" s="214"/>
      <c r="I27" s="108"/>
      <c r="J27" s="122"/>
      <c r="K27" s="108"/>
      <c r="L27" s="122"/>
      <c r="M27" s="108"/>
      <c r="N27" s="207"/>
      <c r="O27" s="160">
        <f t="shared" si="2"/>
        <v>10000</v>
      </c>
      <c r="P27" s="131">
        <f t="shared" si="3"/>
        <v>0</v>
      </c>
    </row>
    <row r="28" spans="1:16" ht="15" customHeight="1" x14ac:dyDescent="0.25">
      <c r="A28" s="148" t="s">
        <v>63</v>
      </c>
      <c r="B28" s="146" t="s">
        <v>139</v>
      </c>
      <c r="C28" s="108">
        <v>20000</v>
      </c>
      <c r="D28" s="122"/>
      <c r="E28" s="108"/>
      <c r="F28" s="122"/>
      <c r="G28" s="108"/>
      <c r="H28" s="214"/>
      <c r="I28" s="108"/>
      <c r="J28" s="122"/>
      <c r="K28" s="108"/>
      <c r="L28" s="122"/>
      <c r="M28" s="108"/>
      <c r="N28" s="207"/>
      <c r="O28" s="160">
        <f t="shared" si="2"/>
        <v>20000</v>
      </c>
      <c r="P28" s="131">
        <f t="shared" si="3"/>
        <v>0</v>
      </c>
    </row>
    <row r="29" spans="1:16" ht="23.4" customHeight="1" x14ac:dyDescent="0.25">
      <c r="A29" s="148" t="s">
        <v>63</v>
      </c>
      <c r="B29" s="146" t="s">
        <v>515</v>
      </c>
      <c r="C29" s="108">
        <v>50000</v>
      </c>
      <c r="D29" s="122"/>
      <c r="E29" s="108"/>
      <c r="F29" s="122"/>
      <c r="G29" s="108"/>
      <c r="H29" s="214"/>
      <c r="I29" s="108"/>
      <c r="J29" s="122"/>
      <c r="K29" s="108"/>
      <c r="L29" s="122"/>
      <c r="M29" s="108"/>
      <c r="N29" s="207"/>
      <c r="O29" s="160">
        <f t="shared" si="2"/>
        <v>50000</v>
      </c>
      <c r="P29" s="131"/>
    </row>
    <row r="30" spans="1:16" x14ac:dyDescent="0.25">
      <c r="A30" s="150" t="s">
        <v>63</v>
      </c>
      <c r="B30" s="146" t="s">
        <v>135</v>
      </c>
      <c r="C30" s="108">
        <f>50000+20000</f>
        <v>70000</v>
      </c>
      <c r="D30" s="122"/>
      <c r="E30" s="108"/>
      <c r="F30" s="122"/>
      <c r="G30" s="108"/>
      <c r="H30" s="214"/>
      <c r="I30" s="108"/>
      <c r="J30" s="122"/>
      <c r="K30" s="108"/>
      <c r="L30" s="122"/>
      <c r="M30" s="108"/>
      <c r="N30" s="207"/>
      <c r="O30" s="160">
        <f t="shared" si="2"/>
        <v>70000</v>
      </c>
      <c r="P30" s="131">
        <f t="shared" si="3"/>
        <v>0</v>
      </c>
    </row>
    <row r="31" spans="1:16" ht="27" thickBot="1" x14ac:dyDescent="0.3">
      <c r="A31" s="157" t="s">
        <v>63</v>
      </c>
      <c r="B31" s="204" t="s">
        <v>435</v>
      </c>
      <c r="C31" s="108"/>
      <c r="D31" s="122"/>
      <c r="E31" s="108"/>
      <c r="F31" s="122"/>
      <c r="G31" s="108">
        <v>1629.11</v>
      </c>
      <c r="H31" s="214"/>
      <c r="I31" s="108"/>
      <c r="J31" s="122"/>
      <c r="K31" s="108">
        <v>25000</v>
      </c>
      <c r="L31" s="122"/>
      <c r="M31" s="108">
        <v>11993.11</v>
      </c>
      <c r="N31" s="207"/>
      <c r="O31" s="267">
        <f t="shared" si="2"/>
        <v>38622.22</v>
      </c>
      <c r="P31" s="256">
        <f t="shared" si="3"/>
        <v>0</v>
      </c>
    </row>
    <row r="32" spans="1:16" ht="16.5" customHeight="1" thickBot="1" x14ac:dyDescent="0.3">
      <c r="A32" s="151"/>
      <c r="B32" s="152" t="s">
        <v>161</v>
      </c>
      <c r="C32" s="113">
        <f t="shared" ref="C32:P32" si="6">SUM(C14,)</f>
        <v>633800</v>
      </c>
      <c r="D32" s="257">
        <f t="shared" si="6"/>
        <v>0</v>
      </c>
      <c r="E32" s="113">
        <f t="shared" si="6"/>
        <v>253000</v>
      </c>
      <c r="F32" s="257">
        <f t="shared" si="6"/>
        <v>0</v>
      </c>
      <c r="G32" s="113">
        <f t="shared" si="6"/>
        <v>1629.11</v>
      </c>
      <c r="H32" s="257">
        <f t="shared" si="6"/>
        <v>0</v>
      </c>
      <c r="I32" s="113">
        <f t="shared" si="6"/>
        <v>0</v>
      </c>
      <c r="J32" s="257">
        <f t="shared" si="6"/>
        <v>0</v>
      </c>
      <c r="K32" s="113">
        <f t="shared" si="6"/>
        <v>25000</v>
      </c>
      <c r="L32" s="257">
        <f t="shared" si="6"/>
        <v>0</v>
      </c>
      <c r="M32" s="113">
        <f t="shared" si="6"/>
        <v>11993.11</v>
      </c>
      <c r="N32" s="257">
        <f t="shared" si="6"/>
        <v>0</v>
      </c>
      <c r="O32" s="258">
        <f t="shared" si="6"/>
        <v>925422.22</v>
      </c>
      <c r="P32" s="257">
        <f t="shared" si="6"/>
        <v>0</v>
      </c>
    </row>
    <row r="33" spans="1:16" s="60" customFormat="1" ht="15.75" customHeight="1" thickBot="1" x14ac:dyDescent="0.3">
      <c r="A33" s="328" t="s">
        <v>142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30"/>
    </row>
    <row r="34" spans="1:16" x14ac:dyDescent="0.25">
      <c r="A34" s="154"/>
      <c r="B34" s="155" t="s">
        <v>321</v>
      </c>
      <c r="C34" s="123">
        <f t="shared" ref="C34:P34" si="7">SUM(C35)</f>
        <v>0</v>
      </c>
      <c r="D34" s="209">
        <f t="shared" si="7"/>
        <v>0</v>
      </c>
      <c r="E34" s="123">
        <f t="shared" si="7"/>
        <v>87000</v>
      </c>
      <c r="F34" s="213">
        <f t="shared" si="7"/>
        <v>22500</v>
      </c>
      <c r="G34" s="209">
        <f t="shared" si="7"/>
        <v>0</v>
      </c>
      <c r="H34" s="209">
        <f t="shared" si="7"/>
        <v>0</v>
      </c>
      <c r="I34" s="123">
        <f t="shared" si="7"/>
        <v>0</v>
      </c>
      <c r="J34" s="209">
        <f t="shared" si="7"/>
        <v>0</v>
      </c>
      <c r="K34" s="123">
        <f t="shared" si="7"/>
        <v>0</v>
      </c>
      <c r="L34" s="209">
        <f t="shared" si="7"/>
        <v>0</v>
      </c>
      <c r="M34" s="123">
        <f t="shared" si="7"/>
        <v>0</v>
      </c>
      <c r="N34" s="209">
        <f t="shared" si="7"/>
        <v>0</v>
      </c>
      <c r="O34" s="123">
        <f t="shared" si="7"/>
        <v>87000</v>
      </c>
      <c r="P34" s="213">
        <f t="shared" si="7"/>
        <v>22500</v>
      </c>
    </row>
    <row r="35" spans="1:16" ht="16.5" customHeight="1" x14ac:dyDescent="0.25">
      <c r="A35" s="157" t="s">
        <v>60</v>
      </c>
      <c r="B35" s="158" t="s">
        <v>497</v>
      </c>
      <c r="C35" s="108"/>
      <c r="D35" s="140"/>
      <c r="E35" s="108">
        <v>87000</v>
      </c>
      <c r="F35" s="140">
        <v>22500</v>
      </c>
      <c r="G35" s="220"/>
      <c r="H35" s="207"/>
      <c r="I35" s="108"/>
      <c r="J35" s="121"/>
      <c r="K35" s="108"/>
      <c r="L35" s="140"/>
      <c r="M35" s="139"/>
      <c r="N35" s="207"/>
      <c r="O35" s="108">
        <f>SUM(C35,E35,G35,I35,K35,M35)</f>
        <v>87000</v>
      </c>
      <c r="P35" s="140">
        <f>SUM(D35,F35,H35,J35,L35,N35)</f>
        <v>22500</v>
      </c>
    </row>
    <row r="36" spans="1:16" ht="15" customHeight="1" x14ac:dyDescent="0.25">
      <c r="A36" s="143"/>
      <c r="B36" s="159" t="s">
        <v>125</v>
      </c>
      <c r="C36" s="160">
        <f t="shared" ref="C36:N36" si="8">SUM(C37:C68)</f>
        <v>3124500</v>
      </c>
      <c r="D36" s="130">
        <f t="shared" si="8"/>
        <v>898548.23</v>
      </c>
      <c r="E36" s="160">
        <f t="shared" si="8"/>
        <v>58000</v>
      </c>
      <c r="F36" s="217">
        <f t="shared" si="8"/>
        <v>0</v>
      </c>
      <c r="G36" s="224">
        <f t="shared" si="8"/>
        <v>283646.75</v>
      </c>
      <c r="H36" s="130">
        <f t="shared" si="8"/>
        <v>2173.0700000000002</v>
      </c>
      <c r="I36" s="160">
        <f t="shared" si="8"/>
        <v>27000</v>
      </c>
      <c r="J36" s="130">
        <f t="shared" si="8"/>
        <v>0</v>
      </c>
      <c r="K36" s="160">
        <f t="shared" si="8"/>
        <v>3769615.83</v>
      </c>
      <c r="L36" s="130">
        <f t="shared" si="8"/>
        <v>0</v>
      </c>
      <c r="M36" s="160">
        <f t="shared" si="8"/>
        <v>258527.9</v>
      </c>
      <c r="N36" s="130">
        <f t="shared" si="8"/>
        <v>150.30000000000001</v>
      </c>
      <c r="O36" s="106">
        <f t="shared" ref="O36:O81" si="9">SUM(C36,E36,G36,I36,K36,M36)</f>
        <v>7521290.4800000004</v>
      </c>
      <c r="P36" s="226">
        <f t="shared" ref="P36:P81" si="10">SUM(D36,F36,H36,J36,L36,N36)</f>
        <v>900871.6</v>
      </c>
    </row>
    <row r="37" spans="1:16" ht="16.2" customHeight="1" x14ac:dyDescent="0.25">
      <c r="A37" s="143" t="s">
        <v>59</v>
      </c>
      <c r="B37" s="162" t="s">
        <v>475</v>
      </c>
      <c r="C37" s="108">
        <v>100000</v>
      </c>
      <c r="D37" s="140"/>
      <c r="E37" s="108"/>
      <c r="F37" s="140"/>
      <c r="G37" s="220"/>
      <c r="H37" s="207"/>
      <c r="I37" s="108"/>
      <c r="J37" s="121"/>
      <c r="K37" s="108"/>
      <c r="L37" s="140"/>
      <c r="M37" s="139"/>
      <c r="N37" s="207"/>
      <c r="O37" s="108">
        <f t="shared" ref="O37:O38" si="11">SUM(C37,E37,G37,I37,K37,M37)</f>
        <v>100000</v>
      </c>
      <c r="P37" s="140">
        <f t="shared" ref="P37:P38" si="12">SUM(D37,F37,H37,J37,L37,N37)</f>
        <v>0</v>
      </c>
    </row>
    <row r="38" spans="1:16" ht="26.4" customHeight="1" x14ac:dyDescent="0.25">
      <c r="A38" s="143" t="s">
        <v>60</v>
      </c>
      <c r="B38" s="162" t="s">
        <v>461</v>
      </c>
      <c r="C38" s="108">
        <v>17200</v>
      </c>
      <c r="D38" s="140"/>
      <c r="E38" s="108"/>
      <c r="F38" s="140"/>
      <c r="G38" s="120">
        <v>38800</v>
      </c>
      <c r="H38" s="207"/>
      <c r="I38" s="108"/>
      <c r="J38" s="121"/>
      <c r="K38" s="108"/>
      <c r="L38" s="140"/>
      <c r="M38" s="108"/>
      <c r="N38" s="207"/>
      <c r="O38" s="108">
        <f t="shared" si="11"/>
        <v>56000</v>
      </c>
      <c r="P38" s="140">
        <f t="shared" si="12"/>
        <v>0</v>
      </c>
    </row>
    <row r="39" spans="1:16" ht="16.5" customHeight="1" x14ac:dyDescent="0.25">
      <c r="A39" s="143" t="s">
        <v>60</v>
      </c>
      <c r="B39" s="161" t="s">
        <v>108</v>
      </c>
      <c r="C39" s="108">
        <v>243000</v>
      </c>
      <c r="D39" s="140"/>
      <c r="E39" s="108"/>
      <c r="F39" s="140"/>
      <c r="G39" s="120"/>
      <c r="H39" s="207"/>
      <c r="I39" s="108"/>
      <c r="J39" s="121"/>
      <c r="K39" s="108"/>
      <c r="L39" s="140"/>
      <c r="M39" s="108"/>
      <c r="N39" s="207"/>
      <c r="O39" s="108">
        <f t="shared" si="9"/>
        <v>243000</v>
      </c>
      <c r="P39" s="140">
        <f t="shared" si="10"/>
        <v>0</v>
      </c>
    </row>
    <row r="40" spans="1:16" ht="18" customHeight="1" x14ac:dyDescent="0.25">
      <c r="A40" s="143" t="s">
        <v>60</v>
      </c>
      <c r="B40" s="162" t="s">
        <v>359</v>
      </c>
      <c r="C40" s="339">
        <v>10000</v>
      </c>
      <c r="D40" s="340"/>
      <c r="E40" s="339"/>
      <c r="F40" s="340"/>
      <c r="G40" s="341"/>
      <c r="H40" s="342"/>
      <c r="I40" s="339"/>
      <c r="J40" s="343"/>
      <c r="K40" s="339"/>
      <c r="L40" s="340"/>
      <c r="M40" s="339">
        <v>31885.09</v>
      </c>
      <c r="N40" s="207"/>
      <c r="O40" s="108">
        <f t="shared" si="9"/>
        <v>41885.089999999997</v>
      </c>
      <c r="P40" s="140">
        <f t="shared" si="10"/>
        <v>0</v>
      </c>
    </row>
    <row r="41" spans="1:16" ht="16.5" customHeight="1" x14ac:dyDescent="0.25">
      <c r="A41" s="143" t="s">
        <v>60</v>
      </c>
      <c r="B41" s="163" t="s">
        <v>477</v>
      </c>
      <c r="C41" s="339">
        <v>13400</v>
      </c>
      <c r="D41" s="340"/>
      <c r="E41" s="339"/>
      <c r="F41" s="340"/>
      <c r="G41" s="341"/>
      <c r="H41" s="342"/>
      <c r="I41" s="339"/>
      <c r="J41" s="343"/>
      <c r="K41" s="339"/>
      <c r="L41" s="340"/>
      <c r="M41" s="339"/>
      <c r="N41" s="207"/>
      <c r="O41" s="108">
        <f t="shared" si="9"/>
        <v>13400</v>
      </c>
      <c r="P41" s="140">
        <f t="shared" si="10"/>
        <v>0</v>
      </c>
    </row>
    <row r="42" spans="1:16" ht="15.75" customHeight="1" x14ac:dyDescent="0.25">
      <c r="A42" s="157" t="s">
        <v>60</v>
      </c>
      <c r="B42" s="164" t="s">
        <v>290</v>
      </c>
      <c r="C42" s="339">
        <v>10000</v>
      </c>
      <c r="D42" s="344"/>
      <c r="E42" s="339"/>
      <c r="F42" s="344"/>
      <c r="G42" s="341"/>
      <c r="H42" s="342"/>
      <c r="I42" s="339"/>
      <c r="J42" s="345"/>
      <c r="K42" s="339"/>
      <c r="L42" s="346"/>
      <c r="M42" s="347"/>
      <c r="N42" s="211"/>
      <c r="O42" s="108">
        <f t="shared" si="9"/>
        <v>10000</v>
      </c>
      <c r="P42" s="140">
        <f t="shared" si="10"/>
        <v>0</v>
      </c>
    </row>
    <row r="43" spans="1:16" ht="15.75" customHeight="1" x14ac:dyDescent="0.25">
      <c r="A43" s="157" t="s">
        <v>60</v>
      </c>
      <c r="B43" s="164" t="s">
        <v>449</v>
      </c>
      <c r="C43" s="339">
        <v>17000</v>
      </c>
      <c r="D43" s="344"/>
      <c r="E43" s="339"/>
      <c r="F43" s="344"/>
      <c r="G43" s="341"/>
      <c r="H43" s="342"/>
      <c r="I43" s="339"/>
      <c r="J43" s="345"/>
      <c r="K43" s="339"/>
      <c r="L43" s="346"/>
      <c r="M43" s="347"/>
      <c r="N43" s="211"/>
      <c r="O43" s="108">
        <f t="shared" si="9"/>
        <v>17000</v>
      </c>
      <c r="P43" s="140">
        <f t="shared" si="10"/>
        <v>0</v>
      </c>
    </row>
    <row r="44" spans="1:16" ht="16.5" customHeight="1" x14ac:dyDescent="0.25">
      <c r="A44" s="157" t="s">
        <v>60</v>
      </c>
      <c r="B44" s="158" t="s">
        <v>146</v>
      </c>
      <c r="C44" s="339">
        <v>60000</v>
      </c>
      <c r="D44" s="340"/>
      <c r="E44" s="339">
        <v>58000</v>
      </c>
      <c r="F44" s="340"/>
      <c r="G44" s="341"/>
      <c r="H44" s="342"/>
      <c r="I44" s="339"/>
      <c r="J44" s="343"/>
      <c r="K44" s="339"/>
      <c r="L44" s="340"/>
      <c r="M44" s="339"/>
      <c r="N44" s="207"/>
      <c r="O44" s="108">
        <f t="shared" si="9"/>
        <v>118000</v>
      </c>
      <c r="P44" s="140">
        <f t="shared" si="10"/>
        <v>0</v>
      </c>
    </row>
    <row r="45" spans="1:16" ht="12.75" customHeight="1" x14ac:dyDescent="0.25">
      <c r="A45" s="149" t="s">
        <v>60</v>
      </c>
      <c r="B45" s="165" t="s">
        <v>148</v>
      </c>
      <c r="C45" s="339">
        <v>7000</v>
      </c>
      <c r="D45" s="340"/>
      <c r="E45" s="339"/>
      <c r="F45" s="340"/>
      <c r="G45" s="341"/>
      <c r="H45" s="342"/>
      <c r="I45" s="339"/>
      <c r="J45" s="343"/>
      <c r="K45" s="339"/>
      <c r="L45" s="340"/>
      <c r="M45" s="339"/>
      <c r="N45" s="207"/>
      <c r="O45" s="108">
        <f t="shared" si="9"/>
        <v>7000</v>
      </c>
      <c r="P45" s="140">
        <f t="shared" si="10"/>
        <v>0</v>
      </c>
    </row>
    <row r="46" spans="1:16" ht="24" customHeight="1" x14ac:dyDescent="0.25">
      <c r="A46" s="149" t="s">
        <v>60</v>
      </c>
      <c r="B46" s="158" t="s">
        <v>506</v>
      </c>
      <c r="C46" s="339">
        <v>9000</v>
      </c>
      <c r="D46" s="340"/>
      <c r="E46" s="339"/>
      <c r="F46" s="340"/>
      <c r="G46" s="341"/>
      <c r="H46" s="342"/>
      <c r="I46" s="339"/>
      <c r="J46" s="343"/>
      <c r="K46" s="339"/>
      <c r="L46" s="340"/>
      <c r="M46" s="339"/>
      <c r="N46" s="207"/>
      <c r="O46" s="108">
        <f t="shared" ref="O46" si="13">SUM(C46,E46,G46,I46,K46,M46)</f>
        <v>9000</v>
      </c>
      <c r="P46" s="140">
        <f t="shared" ref="P46" si="14">SUM(D46,F46,H46,J46,L46,N46)</f>
        <v>0</v>
      </c>
    </row>
    <row r="47" spans="1:16" ht="16.5" customHeight="1" x14ac:dyDescent="0.25">
      <c r="A47" s="143" t="s">
        <v>61</v>
      </c>
      <c r="B47" s="163" t="s">
        <v>476</v>
      </c>
      <c r="C47" s="339">
        <v>6000</v>
      </c>
      <c r="D47" s="340"/>
      <c r="E47" s="339"/>
      <c r="F47" s="340"/>
      <c r="G47" s="341"/>
      <c r="H47" s="342"/>
      <c r="I47" s="339"/>
      <c r="J47" s="343"/>
      <c r="K47" s="339"/>
      <c r="L47" s="340"/>
      <c r="M47" s="339"/>
      <c r="N47" s="207"/>
      <c r="O47" s="108">
        <f t="shared" si="9"/>
        <v>6000</v>
      </c>
      <c r="P47" s="140">
        <f t="shared" si="10"/>
        <v>0</v>
      </c>
    </row>
    <row r="48" spans="1:16" ht="14.25" customHeight="1" x14ac:dyDescent="0.25">
      <c r="A48" s="143" t="s">
        <v>61</v>
      </c>
      <c r="B48" s="167" t="s">
        <v>127</v>
      </c>
      <c r="C48" s="348">
        <f>92000-12400</f>
        <v>79600</v>
      </c>
      <c r="D48" s="340"/>
      <c r="E48" s="339"/>
      <c r="F48" s="340"/>
      <c r="G48" s="341"/>
      <c r="H48" s="342"/>
      <c r="I48" s="339"/>
      <c r="J48" s="343"/>
      <c r="K48" s="339"/>
      <c r="L48" s="340"/>
      <c r="M48" s="339">
        <f>149875.72-50000-13936</f>
        <v>85939.72</v>
      </c>
      <c r="N48" s="207"/>
      <c r="O48" s="108">
        <f t="shared" si="9"/>
        <v>165539.72</v>
      </c>
      <c r="P48" s="140">
        <f t="shared" si="10"/>
        <v>0</v>
      </c>
    </row>
    <row r="49" spans="1:16" ht="26.25" customHeight="1" x14ac:dyDescent="0.25">
      <c r="A49" s="143" t="s">
        <v>61</v>
      </c>
      <c r="B49" s="167" t="s">
        <v>370</v>
      </c>
      <c r="C49" s="339"/>
      <c r="D49" s="340"/>
      <c r="E49" s="339"/>
      <c r="F49" s="340"/>
      <c r="G49" s="341"/>
      <c r="H49" s="342"/>
      <c r="I49" s="339"/>
      <c r="J49" s="343"/>
      <c r="K49" s="339"/>
      <c r="L49" s="340"/>
      <c r="M49" s="339">
        <v>50000</v>
      </c>
      <c r="N49" s="207"/>
      <c r="O49" s="108">
        <f t="shared" si="9"/>
        <v>50000</v>
      </c>
      <c r="P49" s="140">
        <f t="shared" si="10"/>
        <v>0</v>
      </c>
    </row>
    <row r="50" spans="1:16" ht="19.2" customHeight="1" x14ac:dyDescent="0.25">
      <c r="A50" s="143" t="s">
        <v>61</v>
      </c>
      <c r="B50" s="168" t="s">
        <v>450</v>
      </c>
      <c r="C50" s="339">
        <v>1000000</v>
      </c>
      <c r="D50" s="340"/>
      <c r="E50" s="339"/>
      <c r="F50" s="340"/>
      <c r="G50" s="341"/>
      <c r="H50" s="342"/>
      <c r="I50" s="339"/>
      <c r="J50" s="343"/>
      <c r="K50" s="339"/>
      <c r="L50" s="340"/>
      <c r="M50" s="339">
        <v>38749.089999999997</v>
      </c>
      <c r="N50" s="207"/>
      <c r="O50" s="108">
        <f t="shared" si="9"/>
        <v>1038749.09</v>
      </c>
      <c r="P50" s="140">
        <f t="shared" si="10"/>
        <v>0</v>
      </c>
    </row>
    <row r="51" spans="1:16" ht="26.25" customHeight="1" x14ac:dyDescent="0.25">
      <c r="A51" s="143" t="s">
        <v>61</v>
      </c>
      <c r="B51" s="167" t="s">
        <v>508</v>
      </c>
      <c r="C51" s="339">
        <v>10000</v>
      </c>
      <c r="D51" s="340"/>
      <c r="E51" s="339"/>
      <c r="F51" s="340"/>
      <c r="G51" s="341"/>
      <c r="H51" s="342"/>
      <c r="I51" s="339"/>
      <c r="J51" s="343"/>
      <c r="K51" s="339"/>
      <c r="L51" s="340"/>
      <c r="M51" s="339"/>
      <c r="N51" s="207"/>
      <c r="O51" s="108">
        <f t="shared" si="9"/>
        <v>10000</v>
      </c>
      <c r="P51" s="140">
        <f t="shared" si="10"/>
        <v>0</v>
      </c>
    </row>
    <row r="52" spans="1:16" ht="15" customHeight="1" x14ac:dyDescent="0.25">
      <c r="A52" s="143" t="s">
        <v>61</v>
      </c>
      <c r="B52" s="168" t="s">
        <v>478</v>
      </c>
      <c r="C52" s="339">
        <v>10000</v>
      </c>
      <c r="D52" s="340"/>
      <c r="E52" s="339"/>
      <c r="F52" s="340"/>
      <c r="G52" s="341"/>
      <c r="H52" s="342"/>
      <c r="I52" s="339"/>
      <c r="J52" s="343"/>
      <c r="K52" s="339"/>
      <c r="L52" s="340"/>
      <c r="M52" s="339"/>
      <c r="N52" s="207"/>
      <c r="O52" s="108">
        <f t="shared" si="9"/>
        <v>10000</v>
      </c>
      <c r="P52" s="140">
        <f t="shared" si="10"/>
        <v>0</v>
      </c>
    </row>
    <row r="53" spans="1:16" ht="16.8" customHeight="1" x14ac:dyDescent="0.25">
      <c r="A53" s="143" t="s">
        <v>62</v>
      </c>
      <c r="B53" s="168" t="s">
        <v>360</v>
      </c>
      <c r="C53" s="339">
        <v>17000</v>
      </c>
      <c r="D53" s="340"/>
      <c r="E53" s="339"/>
      <c r="F53" s="340"/>
      <c r="G53" s="341"/>
      <c r="H53" s="342"/>
      <c r="I53" s="339"/>
      <c r="J53" s="343"/>
      <c r="K53" s="339"/>
      <c r="L53" s="340"/>
      <c r="M53" s="339">
        <v>6100</v>
      </c>
      <c r="N53" s="207"/>
      <c r="O53" s="108">
        <f t="shared" si="9"/>
        <v>23100</v>
      </c>
      <c r="P53" s="140">
        <f t="shared" si="10"/>
        <v>0</v>
      </c>
    </row>
    <row r="54" spans="1:16" ht="17.25" customHeight="1" x14ac:dyDescent="0.25">
      <c r="A54" s="143" t="s">
        <v>62</v>
      </c>
      <c r="B54" s="168" t="s">
        <v>149</v>
      </c>
      <c r="C54" s="339"/>
      <c r="D54" s="340"/>
      <c r="E54" s="339"/>
      <c r="F54" s="340"/>
      <c r="G54" s="341"/>
      <c r="H54" s="342"/>
      <c r="I54" s="339">
        <v>27000</v>
      </c>
      <c r="J54" s="343"/>
      <c r="K54" s="339"/>
      <c r="L54" s="340"/>
      <c r="M54" s="339">
        <v>16749.05</v>
      </c>
      <c r="N54" s="207"/>
      <c r="O54" s="108">
        <f t="shared" si="9"/>
        <v>43749.05</v>
      </c>
      <c r="P54" s="226">
        <f t="shared" si="10"/>
        <v>0</v>
      </c>
    </row>
    <row r="55" spans="1:16" ht="15.75" customHeight="1" x14ac:dyDescent="0.25">
      <c r="A55" s="143" t="s">
        <v>62</v>
      </c>
      <c r="B55" s="163" t="s">
        <v>143</v>
      </c>
      <c r="C55" s="339">
        <f>950300+10000</f>
        <v>960300</v>
      </c>
      <c r="D55" s="340">
        <v>896300</v>
      </c>
      <c r="E55" s="339"/>
      <c r="F55" s="340"/>
      <c r="G55" s="341"/>
      <c r="H55" s="342"/>
      <c r="I55" s="339"/>
      <c r="J55" s="343"/>
      <c r="K55" s="339"/>
      <c r="L55" s="340"/>
      <c r="M55" s="339"/>
      <c r="N55" s="207"/>
      <c r="O55" s="108">
        <f t="shared" si="9"/>
        <v>960300</v>
      </c>
      <c r="P55" s="140">
        <f t="shared" si="10"/>
        <v>896300</v>
      </c>
    </row>
    <row r="56" spans="1:16" ht="14.25" customHeight="1" x14ac:dyDescent="0.25">
      <c r="A56" s="143" t="s">
        <v>62</v>
      </c>
      <c r="B56" s="163" t="s">
        <v>144</v>
      </c>
      <c r="C56" s="339">
        <v>7000</v>
      </c>
      <c r="D56" s="340"/>
      <c r="E56" s="339"/>
      <c r="F56" s="340"/>
      <c r="G56" s="341"/>
      <c r="H56" s="342"/>
      <c r="I56" s="339"/>
      <c r="J56" s="343"/>
      <c r="K56" s="339"/>
      <c r="L56" s="340"/>
      <c r="M56" s="339"/>
      <c r="N56" s="207"/>
      <c r="O56" s="108">
        <f t="shared" si="9"/>
        <v>7000</v>
      </c>
      <c r="P56" s="140">
        <f t="shared" si="10"/>
        <v>0</v>
      </c>
    </row>
    <row r="57" spans="1:16" ht="14.25" customHeight="1" x14ac:dyDescent="0.25">
      <c r="A57" s="143" t="s">
        <v>62</v>
      </c>
      <c r="B57" s="163" t="s">
        <v>145</v>
      </c>
      <c r="C57" s="339">
        <v>5000</v>
      </c>
      <c r="D57" s="340"/>
      <c r="E57" s="339"/>
      <c r="F57" s="340"/>
      <c r="G57" s="341"/>
      <c r="H57" s="342"/>
      <c r="I57" s="339"/>
      <c r="J57" s="343"/>
      <c r="K57" s="339"/>
      <c r="L57" s="340"/>
      <c r="M57" s="339"/>
      <c r="N57" s="207"/>
      <c r="O57" s="108">
        <f t="shared" si="9"/>
        <v>5000</v>
      </c>
      <c r="P57" s="140">
        <f t="shared" si="10"/>
        <v>0</v>
      </c>
    </row>
    <row r="58" spans="1:16" ht="40.200000000000003" customHeight="1" x14ac:dyDescent="0.25">
      <c r="A58" s="143" t="s">
        <v>62</v>
      </c>
      <c r="B58" s="168" t="s">
        <v>507</v>
      </c>
      <c r="C58" s="339">
        <v>50000</v>
      </c>
      <c r="D58" s="340"/>
      <c r="E58" s="339"/>
      <c r="F58" s="340"/>
      <c r="G58" s="341"/>
      <c r="H58" s="342"/>
      <c r="I58" s="339"/>
      <c r="J58" s="343"/>
      <c r="K58" s="339"/>
      <c r="L58" s="340"/>
      <c r="M58" s="339"/>
      <c r="N58" s="207"/>
      <c r="O58" s="108">
        <f t="shared" si="9"/>
        <v>50000</v>
      </c>
      <c r="P58" s="140"/>
    </row>
    <row r="59" spans="1:16" ht="16.2" customHeight="1" x14ac:dyDescent="0.25">
      <c r="A59" s="143" t="s">
        <v>62</v>
      </c>
      <c r="B59" s="166" t="s">
        <v>436</v>
      </c>
      <c r="C59" s="108">
        <v>8000</v>
      </c>
      <c r="D59" s="140"/>
      <c r="E59" s="108"/>
      <c r="F59" s="140"/>
      <c r="G59" s="120">
        <v>42148.47</v>
      </c>
      <c r="H59" s="207"/>
      <c r="I59" s="108"/>
      <c r="J59" s="121"/>
      <c r="K59" s="108"/>
      <c r="L59" s="140"/>
      <c r="M59" s="108">
        <v>29028.7</v>
      </c>
      <c r="N59" s="207">
        <v>75.150000000000006</v>
      </c>
      <c r="O59" s="108">
        <f t="shared" si="9"/>
        <v>79177.17</v>
      </c>
      <c r="P59" s="140">
        <f t="shared" si="10"/>
        <v>75.150000000000006</v>
      </c>
    </row>
    <row r="60" spans="1:16" ht="13.2" customHeight="1" x14ac:dyDescent="0.25">
      <c r="A60" s="143" t="s">
        <v>62</v>
      </c>
      <c r="B60" s="166" t="s">
        <v>479</v>
      </c>
      <c r="C60" s="108">
        <v>25000</v>
      </c>
      <c r="D60" s="140"/>
      <c r="E60" s="108"/>
      <c r="F60" s="140"/>
      <c r="G60" s="120"/>
      <c r="H60" s="207"/>
      <c r="I60" s="108"/>
      <c r="J60" s="121"/>
      <c r="K60" s="108"/>
      <c r="L60" s="140"/>
      <c r="M60" s="108"/>
      <c r="N60" s="207"/>
      <c r="O60" s="108">
        <f t="shared" si="9"/>
        <v>25000</v>
      </c>
      <c r="P60" s="140">
        <f t="shared" si="10"/>
        <v>0</v>
      </c>
    </row>
    <row r="61" spans="1:16" ht="13.2" customHeight="1" x14ac:dyDescent="0.25">
      <c r="A61" s="143" t="s">
        <v>62</v>
      </c>
      <c r="B61" s="168" t="s">
        <v>480</v>
      </c>
      <c r="C61" s="108">
        <v>100000</v>
      </c>
      <c r="D61" s="140"/>
      <c r="E61" s="108"/>
      <c r="F61" s="140"/>
      <c r="G61" s="120"/>
      <c r="H61" s="207"/>
      <c r="I61" s="108"/>
      <c r="J61" s="121"/>
      <c r="K61" s="108"/>
      <c r="L61" s="140"/>
      <c r="M61" s="108"/>
      <c r="N61" s="207"/>
      <c r="O61" s="108">
        <f t="shared" si="9"/>
        <v>100000</v>
      </c>
      <c r="P61" s="140">
        <f t="shared" si="10"/>
        <v>0</v>
      </c>
    </row>
    <row r="62" spans="1:16" ht="27" customHeight="1" x14ac:dyDescent="0.25">
      <c r="A62" s="143" t="s">
        <v>62</v>
      </c>
      <c r="B62" s="168" t="s">
        <v>495</v>
      </c>
      <c r="C62" s="108"/>
      <c r="D62" s="140"/>
      <c r="E62" s="108"/>
      <c r="F62" s="140"/>
      <c r="G62" s="120"/>
      <c r="H62" s="207"/>
      <c r="I62" s="108"/>
      <c r="J62" s="121"/>
      <c r="K62" s="108">
        <v>500000</v>
      </c>
      <c r="L62" s="140"/>
      <c r="M62" s="108"/>
      <c r="N62" s="207"/>
      <c r="O62" s="108">
        <f t="shared" si="9"/>
        <v>500000</v>
      </c>
      <c r="P62" s="140">
        <f t="shared" si="10"/>
        <v>0</v>
      </c>
    </row>
    <row r="63" spans="1:16" ht="38.25" customHeight="1" x14ac:dyDescent="0.25">
      <c r="A63" s="143" t="s">
        <v>62</v>
      </c>
      <c r="B63" s="166" t="s">
        <v>463</v>
      </c>
      <c r="C63" s="108"/>
      <c r="D63" s="140"/>
      <c r="E63" s="108"/>
      <c r="F63" s="140"/>
      <c r="G63" s="220"/>
      <c r="H63" s="207"/>
      <c r="I63" s="108"/>
      <c r="J63" s="121"/>
      <c r="K63" s="108">
        <v>60000</v>
      </c>
      <c r="L63" s="140"/>
      <c r="M63" s="139"/>
      <c r="N63" s="207"/>
      <c r="O63" s="108">
        <f t="shared" si="9"/>
        <v>60000</v>
      </c>
      <c r="P63" s="140">
        <f t="shared" si="10"/>
        <v>0</v>
      </c>
    </row>
    <row r="64" spans="1:16" ht="38.25" customHeight="1" x14ac:dyDescent="0.25">
      <c r="A64" s="143" t="s">
        <v>62</v>
      </c>
      <c r="B64" s="166" t="s">
        <v>434</v>
      </c>
      <c r="C64" s="108"/>
      <c r="D64" s="140"/>
      <c r="E64" s="108"/>
      <c r="F64" s="140"/>
      <c r="G64" s="120"/>
      <c r="H64" s="207"/>
      <c r="I64" s="108"/>
      <c r="J64" s="121"/>
      <c r="K64" s="108">
        <v>2943596.83</v>
      </c>
      <c r="L64" s="140"/>
      <c r="M64" s="108"/>
      <c r="N64" s="207"/>
      <c r="O64" s="108">
        <f t="shared" si="9"/>
        <v>2943596.83</v>
      </c>
      <c r="P64" s="140">
        <f t="shared" si="10"/>
        <v>0</v>
      </c>
    </row>
    <row r="65" spans="1:16" ht="15.75" customHeight="1" x14ac:dyDescent="0.25">
      <c r="A65" s="143" t="s">
        <v>62</v>
      </c>
      <c r="B65" s="166" t="s">
        <v>419</v>
      </c>
      <c r="C65" s="108">
        <f>25000+45000</f>
        <v>70000</v>
      </c>
      <c r="D65" s="140"/>
      <c r="E65" s="108"/>
      <c r="F65" s="140"/>
      <c r="G65" s="120"/>
      <c r="H65" s="207"/>
      <c r="I65" s="108"/>
      <c r="J65" s="121"/>
      <c r="K65" s="108"/>
      <c r="L65" s="140"/>
      <c r="M65" s="108"/>
      <c r="N65" s="207"/>
      <c r="O65" s="108">
        <f t="shared" si="9"/>
        <v>70000</v>
      </c>
      <c r="P65" s="140">
        <f t="shared" si="10"/>
        <v>0</v>
      </c>
    </row>
    <row r="66" spans="1:16" ht="30.6" customHeight="1" x14ac:dyDescent="0.25">
      <c r="A66" s="143" t="s">
        <v>62</v>
      </c>
      <c r="B66" s="169" t="s">
        <v>509</v>
      </c>
      <c r="C66" s="108">
        <f>180000+40000</f>
        <v>220000</v>
      </c>
      <c r="D66" s="140"/>
      <c r="E66" s="108"/>
      <c r="F66" s="140"/>
      <c r="G66" s="120"/>
      <c r="H66" s="207"/>
      <c r="I66" s="108"/>
      <c r="J66" s="121"/>
      <c r="K66" s="108"/>
      <c r="L66" s="140"/>
      <c r="M66" s="108"/>
      <c r="N66" s="207"/>
      <c r="O66" s="108">
        <f t="shared" si="9"/>
        <v>220000</v>
      </c>
      <c r="P66" s="140">
        <f t="shared" si="10"/>
        <v>0</v>
      </c>
    </row>
    <row r="67" spans="1:16" ht="15" customHeight="1" x14ac:dyDescent="0.25">
      <c r="A67" s="143" t="s">
        <v>62</v>
      </c>
      <c r="B67" s="195" t="s">
        <v>460</v>
      </c>
      <c r="C67" s="108">
        <v>70000</v>
      </c>
      <c r="D67" s="122">
        <v>2248.23</v>
      </c>
      <c r="E67" s="108"/>
      <c r="F67" s="140"/>
      <c r="G67" s="120">
        <v>202698.28</v>
      </c>
      <c r="H67" s="207">
        <v>2173.0700000000002</v>
      </c>
      <c r="I67" s="108"/>
      <c r="J67" s="121"/>
      <c r="K67" s="108">
        <v>205000</v>
      </c>
      <c r="L67" s="140"/>
      <c r="M67" s="108">
        <v>76.25</v>
      </c>
      <c r="N67" s="207">
        <v>75.150000000000006</v>
      </c>
      <c r="O67" s="108">
        <f t="shared" ref="O67:O68" si="15">SUM(C67,E67,G67,I67,K67,M67)</f>
        <v>477774.53</v>
      </c>
      <c r="P67" s="140">
        <f t="shared" ref="P67:P68" si="16">SUM(D67,F67,H67,J67,L67,N67)</f>
        <v>4496.45</v>
      </c>
    </row>
    <row r="68" spans="1:16" ht="26.4" customHeight="1" x14ac:dyDescent="0.25">
      <c r="A68" s="143" t="s">
        <v>67</v>
      </c>
      <c r="B68" s="349" t="s">
        <v>523</v>
      </c>
      <c r="C68" s="108"/>
      <c r="D68" s="122"/>
      <c r="E68" s="108"/>
      <c r="F68" s="140"/>
      <c r="G68" s="120"/>
      <c r="H68" s="207"/>
      <c r="I68" s="108"/>
      <c r="J68" s="147"/>
      <c r="K68" s="108">
        <v>61019</v>
      </c>
      <c r="L68" s="122"/>
      <c r="M68" s="108"/>
      <c r="N68" s="207"/>
      <c r="O68" s="108">
        <f t="shared" si="15"/>
        <v>61019</v>
      </c>
      <c r="P68" s="140">
        <f t="shared" si="16"/>
        <v>0</v>
      </c>
    </row>
    <row r="69" spans="1:16" ht="15.75" customHeight="1" x14ac:dyDescent="0.25">
      <c r="A69" s="157"/>
      <c r="B69" s="170" t="s">
        <v>147</v>
      </c>
      <c r="C69" s="106">
        <f t="shared" ref="C69:N69" si="17">SUM(C70:C75)</f>
        <v>377400</v>
      </c>
      <c r="D69" s="131">
        <f t="shared" si="17"/>
        <v>0</v>
      </c>
      <c r="E69" s="106">
        <f t="shared" si="17"/>
        <v>0</v>
      </c>
      <c r="F69" s="131">
        <f t="shared" si="17"/>
        <v>0</v>
      </c>
      <c r="G69" s="130">
        <f t="shared" si="17"/>
        <v>0</v>
      </c>
      <c r="H69" s="131">
        <f t="shared" si="17"/>
        <v>0</v>
      </c>
      <c r="I69" s="106">
        <f t="shared" si="17"/>
        <v>6000</v>
      </c>
      <c r="J69" s="131">
        <f t="shared" si="17"/>
        <v>0</v>
      </c>
      <c r="K69" s="106">
        <f t="shared" si="17"/>
        <v>0</v>
      </c>
      <c r="L69" s="131">
        <f t="shared" si="17"/>
        <v>0</v>
      </c>
      <c r="M69" s="106">
        <f t="shared" si="17"/>
        <v>20250</v>
      </c>
      <c r="N69" s="131">
        <f t="shared" si="17"/>
        <v>0</v>
      </c>
      <c r="O69" s="106">
        <f t="shared" si="9"/>
        <v>403650</v>
      </c>
      <c r="P69" s="226">
        <f t="shared" si="10"/>
        <v>0</v>
      </c>
    </row>
    <row r="70" spans="1:16" ht="15.75" customHeight="1" x14ac:dyDescent="0.25">
      <c r="A70" s="171" t="s">
        <v>59</v>
      </c>
      <c r="B70" s="158" t="s">
        <v>292</v>
      </c>
      <c r="C70" s="108">
        <v>9600</v>
      </c>
      <c r="D70" s="122"/>
      <c r="E70" s="108"/>
      <c r="F70" s="122"/>
      <c r="G70" s="220"/>
      <c r="H70" s="207"/>
      <c r="I70" s="108"/>
      <c r="J70" s="147"/>
      <c r="K70" s="108"/>
      <c r="L70" s="129"/>
      <c r="M70" s="128"/>
      <c r="N70" s="211"/>
      <c r="O70" s="108">
        <f t="shared" si="9"/>
        <v>9600</v>
      </c>
      <c r="P70" s="140">
        <f t="shared" si="10"/>
        <v>0</v>
      </c>
    </row>
    <row r="71" spans="1:16" ht="15.75" customHeight="1" x14ac:dyDescent="0.25">
      <c r="A71" s="157" t="s">
        <v>60</v>
      </c>
      <c r="B71" s="164" t="s">
        <v>290</v>
      </c>
      <c r="C71" s="108">
        <v>200</v>
      </c>
      <c r="D71" s="122"/>
      <c r="E71" s="108"/>
      <c r="F71" s="122"/>
      <c r="G71" s="120"/>
      <c r="H71" s="207"/>
      <c r="I71" s="108"/>
      <c r="J71" s="147"/>
      <c r="K71" s="108"/>
      <c r="L71" s="129"/>
      <c r="M71" s="111"/>
      <c r="N71" s="211"/>
      <c r="O71" s="108">
        <f t="shared" si="9"/>
        <v>200</v>
      </c>
      <c r="P71" s="140">
        <f t="shared" si="10"/>
        <v>0</v>
      </c>
    </row>
    <row r="72" spans="1:16" ht="15.75" customHeight="1" x14ac:dyDescent="0.25">
      <c r="A72" s="157" t="s">
        <v>60</v>
      </c>
      <c r="B72" s="164" t="s">
        <v>148</v>
      </c>
      <c r="C72" s="108">
        <v>15000</v>
      </c>
      <c r="D72" s="122"/>
      <c r="E72" s="108"/>
      <c r="F72" s="122"/>
      <c r="G72" s="120"/>
      <c r="H72" s="207"/>
      <c r="I72" s="108"/>
      <c r="J72" s="147"/>
      <c r="K72" s="108"/>
      <c r="L72" s="129"/>
      <c r="M72" s="111"/>
      <c r="N72" s="211"/>
      <c r="O72" s="108">
        <f t="shared" si="9"/>
        <v>15000</v>
      </c>
      <c r="P72" s="140">
        <f t="shared" si="10"/>
        <v>0</v>
      </c>
    </row>
    <row r="73" spans="1:16" ht="15.75" customHeight="1" x14ac:dyDescent="0.25">
      <c r="A73" s="157" t="s">
        <v>61</v>
      </c>
      <c r="B73" s="164" t="s">
        <v>128</v>
      </c>
      <c r="C73" s="108">
        <v>10000</v>
      </c>
      <c r="D73" s="122"/>
      <c r="E73" s="108"/>
      <c r="F73" s="122"/>
      <c r="G73" s="120"/>
      <c r="H73" s="207"/>
      <c r="I73" s="108"/>
      <c r="J73" s="147"/>
      <c r="K73" s="108"/>
      <c r="L73" s="129"/>
      <c r="M73" s="111"/>
      <c r="N73" s="211"/>
      <c r="O73" s="108">
        <f t="shared" si="9"/>
        <v>10000</v>
      </c>
      <c r="P73" s="140">
        <f t="shared" si="10"/>
        <v>0</v>
      </c>
    </row>
    <row r="74" spans="1:16" ht="15.75" customHeight="1" x14ac:dyDescent="0.25">
      <c r="A74" s="157" t="s">
        <v>62</v>
      </c>
      <c r="B74" s="163" t="s">
        <v>143</v>
      </c>
      <c r="C74" s="108">
        <v>289600</v>
      </c>
      <c r="D74" s="122"/>
      <c r="E74" s="108"/>
      <c r="F74" s="122"/>
      <c r="G74" s="120"/>
      <c r="H74" s="207"/>
      <c r="I74" s="108">
        <v>6000</v>
      </c>
      <c r="J74" s="147"/>
      <c r="K74" s="108"/>
      <c r="L74" s="129"/>
      <c r="M74" s="111">
        <v>20250</v>
      </c>
      <c r="N74" s="211"/>
      <c r="O74" s="108">
        <f t="shared" si="9"/>
        <v>315850</v>
      </c>
      <c r="P74" s="140">
        <f t="shared" si="10"/>
        <v>0</v>
      </c>
    </row>
    <row r="75" spans="1:16" ht="15.75" customHeight="1" x14ac:dyDescent="0.25">
      <c r="A75" s="157" t="s">
        <v>62</v>
      </c>
      <c r="B75" s="164" t="s">
        <v>129</v>
      </c>
      <c r="C75" s="108">
        <v>53000</v>
      </c>
      <c r="D75" s="122"/>
      <c r="E75" s="108"/>
      <c r="F75" s="122"/>
      <c r="G75" s="120"/>
      <c r="H75" s="207"/>
      <c r="I75" s="108"/>
      <c r="J75" s="147"/>
      <c r="K75" s="108"/>
      <c r="L75" s="129"/>
      <c r="M75" s="111"/>
      <c r="N75" s="211"/>
      <c r="O75" s="108">
        <f t="shared" si="9"/>
        <v>53000</v>
      </c>
      <c r="P75" s="140">
        <f t="shared" si="10"/>
        <v>0</v>
      </c>
    </row>
    <row r="76" spans="1:16" ht="15.75" customHeight="1" x14ac:dyDescent="0.25">
      <c r="A76" s="157"/>
      <c r="B76" s="170" t="s">
        <v>150</v>
      </c>
      <c r="C76" s="106">
        <f t="shared" ref="C76:N76" si="18">SUM(C77:C82)</f>
        <v>54200</v>
      </c>
      <c r="D76" s="131">
        <f t="shared" si="18"/>
        <v>0</v>
      </c>
      <c r="E76" s="106">
        <f t="shared" si="18"/>
        <v>0</v>
      </c>
      <c r="F76" s="131">
        <f t="shared" si="18"/>
        <v>0</v>
      </c>
      <c r="G76" s="130">
        <f t="shared" si="18"/>
        <v>0</v>
      </c>
      <c r="H76" s="219">
        <f t="shared" si="18"/>
        <v>0</v>
      </c>
      <c r="I76" s="106">
        <f t="shared" si="18"/>
        <v>200</v>
      </c>
      <c r="J76" s="131">
        <f t="shared" si="18"/>
        <v>0</v>
      </c>
      <c r="K76" s="106">
        <f t="shared" si="18"/>
        <v>0</v>
      </c>
      <c r="L76" s="131">
        <f t="shared" si="18"/>
        <v>0</v>
      </c>
      <c r="M76" s="106">
        <f t="shared" si="18"/>
        <v>18.170000000000002</v>
      </c>
      <c r="N76" s="219">
        <f t="shared" si="18"/>
        <v>0</v>
      </c>
      <c r="O76" s="106">
        <f t="shared" si="9"/>
        <v>54418.17</v>
      </c>
      <c r="P76" s="226">
        <f t="shared" si="10"/>
        <v>0</v>
      </c>
    </row>
    <row r="77" spans="1:16" ht="15.75" customHeight="1" x14ac:dyDescent="0.25">
      <c r="A77" s="157" t="s">
        <v>60</v>
      </c>
      <c r="B77" s="164" t="s">
        <v>290</v>
      </c>
      <c r="C77" s="108">
        <v>100</v>
      </c>
      <c r="D77" s="122"/>
      <c r="E77" s="108"/>
      <c r="F77" s="122"/>
      <c r="G77" s="120"/>
      <c r="H77" s="207"/>
      <c r="I77" s="108"/>
      <c r="J77" s="147"/>
      <c r="K77" s="108"/>
      <c r="L77" s="129"/>
      <c r="M77" s="111"/>
      <c r="N77" s="211"/>
      <c r="O77" s="108">
        <f t="shared" si="9"/>
        <v>100</v>
      </c>
      <c r="P77" s="140">
        <f t="shared" si="10"/>
        <v>0</v>
      </c>
    </row>
    <row r="78" spans="1:16" ht="15.75" customHeight="1" x14ac:dyDescent="0.25">
      <c r="A78" s="157" t="s">
        <v>60</v>
      </c>
      <c r="B78" s="164" t="s">
        <v>148</v>
      </c>
      <c r="C78" s="108">
        <v>15100</v>
      </c>
      <c r="D78" s="122"/>
      <c r="E78" s="108"/>
      <c r="F78" s="122"/>
      <c r="G78" s="120"/>
      <c r="H78" s="207"/>
      <c r="I78" s="108"/>
      <c r="J78" s="147"/>
      <c r="K78" s="108"/>
      <c r="L78" s="129"/>
      <c r="M78" s="111"/>
      <c r="N78" s="211"/>
      <c r="O78" s="108">
        <f t="shared" si="9"/>
        <v>15100</v>
      </c>
      <c r="P78" s="140">
        <f t="shared" si="10"/>
        <v>0</v>
      </c>
    </row>
    <row r="79" spans="1:16" ht="15.75" customHeight="1" x14ac:dyDescent="0.25">
      <c r="A79" s="171" t="s">
        <v>61</v>
      </c>
      <c r="B79" s="165" t="s">
        <v>128</v>
      </c>
      <c r="C79" s="108">
        <v>20000</v>
      </c>
      <c r="D79" s="122"/>
      <c r="E79" s="108"/>
      <c r="F79" s="122"/>
      <c r="G79" s="120"/>
      <c r="H79" s="207"/>
      <c r="I79" s="108"/>
      <c r="J79" s="147"/>
      <c r="K79" s="108"/>
      <c r="L79" s="129"/>
      <c r="M79" s="111"/>
      <c r="N79" s="211"/>
      <c r="O79" s="108">
        <f t="shared" si="9"/>
        <v>20000</v>
      </c>
      <c r="P79" s="140">
        <f t="shared" si="10"/>
        <v>0</v>
      </c>
    </row>
    <row r="80" spans="1:16" ht="15.75" customHeight="1" x14ac:dyDescent="0.25">
      <c r="A80" s="157" t="s">
        <v>62</v>
      </c>
      <c r="B80" s="163" t="s">
        <v>143</v>
      </c>
      <c r="C80" s="108">
        <v>10000</v>
      </c>
      <c r="D80" s="122"/>
      <c r="E80" s="108"/>
      <c r="F80" s="122"/>
      <c r="G80" s="120"/>
      <c r="H80" s="207"/>
      <c r="I80" s="108">
        <v>200</v>
      </c>
      <c r="J80" s="147"/>
      <c r="K80" s="108"/>
      <c r="L80" s="129"/>
      <c r="M80" s="111">
        <v>18.170000000000002</v>
      </c>
      <c r="N80" s="211"/>
      <c r="O80" s="108">
        <f t="shared" si="9"/>
        <v>10218.17</v>
      </c>
      <c r="P80" s="140">
        <f t="shared" si="10"/>
        <v>0</v>
      </c>
    </row>
    <row r="81" spans="1:16" ht="15.75" customHeight="1" x14ac:dyDescent="0.25">
      <c r="A81" s="157" t="s">
        <v>62</v>
      </c>
      <c r="B81" s="164" t="s">
        <v>149</v>
      </c>
      <c r="C81" s="108">
        <v>300</v>
      </c>
      <c r="D81" s="122"/>
      <c r="E81" s="108"/>
      <c r="F81" s="122"/>
      <c r="G81" s="120"/>
      <c r="H81" s="207"/>
      <c r="I81" s="108"/>
      <c r="J81" s="147"/>
      <c r="K81" s="108"/>
      <c r="L81" s="129"/>
      <c r="M81" s="111"/>
      <c r="N81" s="211"/>
      <c r="O81" s="108">
        <f t="shared" si="9"/>
        <v>300</v>
      </c>
      <c r="P81" s="140">
        <f t="shared" si="10"/>
        <v>0</v>
      </c>
    </row>
    <row r="82" spans="1:16" ht="15.75" customHeight="1" x14ac:dyDescent="0.25">
      <c r="A82" s="157" t="s">
        <v>62</v>
      </c>
      <c r="B82" s="164" t="s">
        <v>129</v>
      </c>
      <c r="C82" s="108">
        <v>8700</v>
      </c>
      <c r="D82" s="122"/>
      <c r="E82" s="108"/>
      <c r="F82" s="122"/>
      <c r="G82" s="120"/>
      <c r="H82" s="207"/>
      <c r="I82" s="108"/>
      <c r="J82" s="147"/>
      <c r="K82" s="108"/>
      <c r="L82" s="129"/>
      <c r="M82" s="111"/>
      <c r="N82" s="211"/>
      <c r="O82" s="108">
        <f t="shared" ref="O82:O137" si="19">SUM(C82,E82,G82,I82,K82,M82)</f>
        <v>8700</v>
      </c>
      <c r="P82" s="140">
        <f t="shared" ref="P82:P137" si="20">SUM(D82,F82,H82,J82,L82,N82)</f>
        <v>0</v>
      </c>
    </row>
    <row r="83" spans="1:16" ht="15.75" customHeight="1" x14ac:dyDescent="0.25">
      <c r="A83" s="157"/>
      <c r="B83" s="170" t="s">
        <v>151</v>
      </c>
      <c r="C83" s="106">
        <f t="shared" ref="C83:N83" si="21">SUM(C84:C89)</f>
        <v>79000</v>
      </c>
      <c r="D83" s="131">
        <f t="shared" si="21"/>
        <v>0</v>
      </c>
      <c r="E83" s="106">
        <f t="shared" si="21"/>
        <v>0</v>
      </c>
      <c r="F83" s="131">
        <f t="shared" si="21"/>
        <v>0</v>
      </c>
      <c r="G83" s="130">
        <f t="shared" si="21"/>
        <v>0</v>
      </c>
      <c r="H83" s="219">
        <f t="shared" si="21"/>
        <v>0</v>
      </c>
      <c r="I83" s="106">
        <f t="shared" si="21"/>
        <v>8000</v>
      </c>
      <c r="J83" s="131">
        <f t="shared" si="21"/>
        <v>0</v>
      </c>
      <c r="K83" s="106">
        <f t="shared" si="21"/>
        <v>0</v>
      </c>
      <c r="L83" s="131">
        <f t="shared" si="21"/>
        <v>0</v>
      </c>
      <c r="M83" s="106">
        <f t="shared" si="21"/>
        <v>985.28</v>
      </c>
      <c r="N83" s="219">
        <f t="shared" si="21"/>
        <v>0</v>
      </c>
      <c r="O83" s="106">
        <f t="shared" si="19"/>
        <v>87985.279999999999</v>
      </c>
      <c r="P83" s="226">
        <f t="shared" si="20"/>
        <v>0</v>
      </c>
    </row>
    <row r="84" spans="1:16" ht="15.75" customHeight="1" x14ac:dyDescent="0.25">
      <c r="A84" s="157" t="s">
        <v>59</v>
      </c>
      <c r="B84" s="162" t="s">
        <v>292</v>
      </c>
      <c r="C84" s="108">
        <v>2600</v>
      </c>
      <c r="D84" s="122"/>
      <c r="E84" s="108"/>
      <c r="F84" s="122"/>
      <c r="G84" s="120"/>
      <c r="H84" s="207"/>
      <c r="I84" s="108"/>
      <c r="J84" s="147"/>
      <c r="K84" s="108"/>
      <c r="L84" s="129"/>
      <c r="M84" s="111"/>
      <c r="N84" s="211"/>
      <c r="O84" s="108">
        <f t="shared" si="19"/>
        <v>2600</v>
      </c>
      <c r="P84" s="140">
        <f t="shared" si="20"/>
        <v>0</v>
      </c>
    </row>
    <row r="85" spans="1:16" ht="15.75" customHeight="1" x14ac:dyDescent="0.25">
      <c r="A85" s="157" t="s">
        <v>60</v>
      </c>
      <c r="B85" s="164" t="s">
        <v>290</v>
      </c>
      <c r="C85" s="108">
        <v>200</v>
      </c>
      <c r="D85" s="122"/>
      <c r="E85" s="108"/>
      <c r="F85" s="122"/>
      <c r="G85" s="120"/>
      <c r="H85" s="207"/>
      <c r="I85" s="108"/>
      <c r="J85" s="147"/>
      <c r="K85" s="108"/>
      <c r="L85" s="129"/>
      <c r="M85" s="111"/>
      <c r="N85" s="211"/>
      <c r="O85" s="108">
        <f t="shared" si="19"/>
        <v>200</v>
      </c>
      <c r="P85" s="140">
        <f t="shared" si="20"/>
        <v>0</v>
      </c>
    </row>
    <row r="86" spans="1:16" ht="15.75" customHeight="1" x14ac:dyDescent="0.25">
      <c r="A86" s="157" t="s">
        <v>61</v>
      </c>
      <c r="B86" s="164" t="s">
        <v>128</v>
      </c>
      <c r="C86" s="108">
        <v>9000</v>
      </c>
      <c r="D86" s="122"/>
      <c r="E86" s="108"/>
      <c r="F86" s="122"/>
      <c r="G86" s="120"/>
      <c r="H86" s="207"/>
      <c r="I86" s="108"/>
      <c r="J86" s="147"/>
      <c r="K86" s="108"/>
      <c r="L86" s="129"/>
      <c r="M86" s="111"/>
      <c r="N86" s="211"/>
      <c r="O86" s="108">
        <f t="shared" si="19"/>
        <v>9000</v>
      </c>
      <c r="P86" s="140">
        <f t="shared" si="20"/>
        <v>0</v>
      </c>
    </row>
    <row r="87" spans="1:16" ht="15.75" customHeight="1" x14ac:dyDescent="0.25">
      <c r="A87" s="157" t="s">
        <v>62</v>
      </c>
      <c r="B87" s="163" t="s">
        <v>143</v>
      </c>
      <c r="C87" s="108">
        <v>42200</v>
      </c>
      <c r="D87" s="122"/>
      <c r="E87" s="108"/>
      <c r="F87" s="122"/>
      <c r="G87" s="120"/>
      <c r="H87" s="207"/>
      <c r="I87" s="108">
        <v>8000</v>
      </c>
      <c r="J87" s="147"/>
      <c r="K87" s="108"/>
      <c r="L87" s="129"/>
      <c r="M87" s="111">
        <v>985.28</v>
      </c>
      <c r="N87" s="211"/>
      <c r="O87" s="108">
        <f t="shared" si="19"/>
        <v>51185.279999999999</v>
      </c>
      <c r="P87" s="140">
        <f t="shared" si="20"/>
        <v>0</v>
      </c>
    </row>
    <row r="88" spans="1:16" ht="15.75" customHeight="1" x14ac:dyDescent="0.25">
      <c r="A88" s="157" t="s">
        <v>62</v>
      </c>
      <c r="B88" s="164" t="s">
        <v>149</v>
      </c>
      <c r="C88" s="108">
        <v>3000</v>
      </c>
      <c r="D88" s="122"/>
      <c r="E88" s="108"/>
      <c r="F88" s="122"/>
      <c r="G88" s="120"/>
      <c r="H88" s="207"/>
      <c r="I88" s="108"/>
      <c r="J88" s="147"/>
      <c r="K88" s="108"/>
      <c r="L88" s="129"/>
      <c r="M88" s="111"/>
      <c r="N88" s="211"/>
      <c r="O88" s="108">
        <f t="shared" si="19"/>
        <v>3000</v>
      </c>
      <c r="P88" s="140">
        <f t="shared" si="20"/>
        <v>0</v>
      </c>
    </row>
    <row r="89" spans="1:16" ht="15.75" customHeight="1" x14ac:dyDescent="0.25">
      <c r="A89" s="157" t="s">
        <v>62</v>
      </c>
      <c r="B89" s="164" t="s">
        <v>129</v>
      </c>
      <c r="C89" s="108">
        <v>22000</v>
      </c>
      <c r="D89" s="122"/>
      <c r="E89" s="108"/>
      <c r="F89" s="122"/>
      <c r="G89" s="120"/>
      <c r="H89" s="207"/>
      <c r="I89" s="108"/>
      <c r="J89" s="147"/>
      <c r="K89" s="108"/>
      <c r="L89" s="129"/>
      <c r="M89" s="111"/>
      <c r="N89" s="211"/>
      <c r="O89" s="108">
        <f t="shared" si="19"/>
        <v>22000</v>
      </c>
      <c r="P89" s="140">
        <f t="shared" si="20"/>
        <v>0</v>
      </c>
    </row>
    <row r="90" spans="1:16" ht="15.75" customHeight="1" x14ac:dyDescent="0.25">
      <c r="A90" s="157"/>
      <c r="B90" s="170" t="s">
        <v>152</v>
      </c>
      <c r="C90" s="106">
        <f t="shared" ref="C90:N90" si="22">SUM(C91:C96)</f>
        <v>76700</v>
      </c>
      <c r="D90" s="131">
        <f t="shared" si="22"/>
        <v>0</v>
      </c>
      <c r="E90" s="106">
        <f t="shared" si="22"/>
        <v>0</v>
      </c>
      <c r="F90" s="131">
        <f t="shared" si="22"/>
        <v>0</v>
      </c>
      <c r="G90" s="130">
        <f t="shared" si="22"/>
        <v>0</v>
      </c>
      <c r="H90" s="219">
        <f t="shared" si="22"/>
        <v>0</v>
      </c>
      <c r="I90" s="106">
        <f t="shared" si="22"/>
        <v>500</v>
      </c>
      <c r="J90" s="131">
        <f t="shared" si="22"/>
        <v>0</v>
      </c>
      <c r="K90" s="106">
        <f t="shared" si="22"/>
        <v>0</v>
      </c>
      <c r="L90" s="131">
        <f t="shared" si="22"/>
        <v>0</v>
      </c>
      <c r="M90" s="106">
        <f t="shared" si="22"/>
        <v>460.29</v>
      </c>
      <c r="N90" s="219">
        <f t="shared" si="22"/>
        <v>0</v>
      </c>
      <c r="O90" s="106">
        <f t="shared" si="19"/>
        <v>77660.289999999994</v>
      </c>
      <c r="P90" s="226">
        <f t="shared" si="20"/>
        <v>0</v>
      </c>
    </row>
    <row r="91" spans="1:16" ht="15.75" customHeight="1" x14ac:dyDescent="0.25">
      <c r="A91" s="157" t="s">
        <v>60</v>
      </c>
      <c r="B91" s="164" t="s">
        <v>290</v>
      </c>
      <c r="C91" s="108">
        <v>200</v>
      </c>
      <c r="D91" s="122"/>
      <c r="E91" s="108"/>
      <c r="F91" s="122"/>
      <c r="G91" s="120"/>
      <c r="H91" s="207"/>
      <c r="I91" s="108"/>
      <c r="J91" s="147"/>
      <c r="K91" s="108"/>
      <c r="L91" s="129"/>
      <c r="M91" s="111"/>
      <c r="N91" s="211"/>
      <c r="O91" s="108">
        <f t="shared" si="19"/>
        <v>200</v>
      </c>
      <c r="P91" s="140">
        <f t="shared" si="20"/>
        <v>0</v>
      </c>
    </row>
    <row r="92" spans="1:16" ht="15.75" customHeight="1" x14ac:dyDescent="0.25">
      <c r="A92" s="157" t="s">
        <v>60</v>
      </c>
      <c r="B92" s="164" t="s">
        <v>148</v>
      </c>
      <c r="C92" s="108">
        <v>21200</v>
      </c>
      <c r="D92" s="122"/>
      <c r="E92" s="108"/>
      <c r="F92" s="122"/>
      <c r="G92" s="120"/>
      <c r="H92" s="207"/>
      <c r="I92" s="108"/>
      <c r="J92" s="147"/>
      <c r="K92" s="108"/>
      <c r="L92" s="129"/>
      <c r="M92" s="111"/>
      <c r="N92" s="211"/>
      <c r="O92" s="108">
        <f t="shared" si="19"/>
        <v>21200</v>
      </c>
      <c r="P92" s="140">
        <f t="shared" si="20"/>
        <v>0</v>
      </c>
    </row>
    <row r="93" spans="1:16" ht="15.75" customHeight="1" x14ac:dyDescent="0.25">
      <c r="A93" s="157" t="s">
        <v>61</v>
      </c>
      <c r="B93" s="164" t="s">
        <v>128</v>
      </c>
      <c r="C93" s="108">
        <v>10000</v>
      </c>
      <c r="D93" s="122"/>
      <c r="E93" s="108"/>
      <c r="F93" s="122"/>
      <c r="G93" s="120"/>
      <c r="H93" s="207"/>
      <c r="I93" s="108"/>
      <c r="J93" s="147"/>
      <c r="K93" s="108"/>
      <c r="L93" s="129"/>
      <c r="M93" s="111"/>
      <c r="N93" s="211"/>
      <c r="O93" s="108">
        <f t="shared" si="19"/>
        <v>10000</v>
      </c>
      <c r="P93" s="140">
        <f t="shared" si="20"/>
        <v>0</v>
      </c>
    </row>
    <row r="94" spans="1:16" ht="15.75" customHeight="1" x14ac:dyDescent="0.25">
      <c r="A94" s="157" t="s">
        <v>62</v>
      </c>
      <c r="B94" s="164" t="s">
        <v>149</v>
      </c>
      <c r="C94" s="108">
        <v>1000</v>
      </c>
      <c r="D94" s="122"/>
      <c r="E94" s="108"/>
      <c r="F94" s="122"/>
      <c r="G94" s="120"/>
      <c r="H94" s="207"/>
      <c r="I94" s="108"/>
      <c r="J94" s="147"/>
      <c r="K94" s="108"/>
      <c r="L94" s="129"/>
      <c r="M94" s="111"/>
      <c r="N94" s="211"/>
      <c r="O94" s="108">
        <f t="shared" si="19"/>
        <v>1000</v>
      </c>
      <c r="P94" s="140">
        <f t="shared" si="20"/>
        <v>0</v>
      </c>
    </row>
    <row r="95" spans="1:16" ht="15.75" customHeight="1" x14ac:dyDescent="0.25">
      <c r="A95" s="157" t="s">
        <v>62</v>
      </c>
      <c r="B95" s="163" t="s">
        <v>143</v>
      </c>
      <c r="C95" s="108">
        <v>34300</v>
      </c>
      <c r="D95" s="122"/>
      <c r="E95" s="108"/>
      <c r="F95" s="122"/>
      <c r="G95" s="120"/>
      <c r="H95" s="207"/>
      <c r="I95" s="108">
        <v>500</v>
      </c>
      <c r="J95" s="147"/>
      <c r="K95" s="108"/>
      <c r="L95" s="129"/>
      <c r="M95" s="111">
        <v>460.29</v>
      </c>
      <c r="N95" s="211"/>
      <c r="O95" s="108">
        <f t="shared" si="19"/>
        <v>35260.29</v>
      </c>
      <c r="P95" s="140">
        <f t="shared" si="20"/>
        <v>0</v>
      </c>
    </row>
    <row r="96" spans="1:16" ht="15.75" customHeight="1" x14ac:dyDescent="0.25">
      <c r="A96" s="157" t="s">
        <v>62</v>
      </c>
      <c r="B96" s="164" t="s">
        <v>129</v>
      </c>
      <c r="C96" s="108">
        <v>10000</v>
      </c>
      <c r="D96" s="122"/>
      <c r="E96" s="108"/>
      <c r="F96" s="122"/>
      <c r="G96" s="120"/>
      <c r="H96" s="207"/>
      <c r="I96" s="108"/>
      <c r="J96" s="147"/>
      <c r="K96" s="108"/>
      <c r="L96" s="129"/>
      <c r="M96" s="111"/>
      <c r="N96" s="211"/>
      <c r="O96" s="108">
        <f t="shared" si="19"/>
        <v>10000</v>
      </c>
      <c r="P96" s="140">
        <f t="shared" si="20"/>
        <v>0</v>
      </c>
    </row>
    <row r="97" spans="1:16" ht="15.75" customHeight="1" x14ac:dyDescent="0.25">
      <c r="A97" s="157"/>
      <c r="B97" s="170" t="s">
        <v>153</v>
      </c>
      <c r="C97" s="106">
        <f t="shared" ref="C97:N97" si="23">SUM(C98:C104)</f>
        <v>102300</v>
      </c>
      <c r="D97" s="131">
        <f t="shared" si="23"/>
        <v>0</v>
      </c>
      <c r="E97" s="106">
        <f t="shared" si="23"/>
        <v>0</v>
      </c>
      <c r="F97" s="131">
        <f t="shared" si="23"/>
        <v>0</v>
      </c>
      <c r="G97" s="130">
        <f t="shared" si="23"/>
        <v>0</v>
      </c>
      <c r="H97" s="219">
        <f t="shared" si="23"/>
        <v>0</v>
      </c>
      <c r="I97" s="106">
        <f t="shared" si="23"/>
        <v>4700</v>
      </c>
      <c r="J97" s="131">
        <f t="shared" si="23"/>
        <v>0</v>
      </c>
      <c r="K97" s="106">
        <f t="shared" si="23"/>
        <v>0</v>
      </c>
      <c r="L97" s="131">
        <f t="shared" si="23"/>
        <v>0</v>
      </c>
      <c r="M97" s="106">
        <f t="shared" si="23"/>
        <v>2022.24</v>
      </c>
      <c r="N97" s="219">
        <f t="shared" si="23"/>
        <v>0</v>
      </c>
      <c r="O97" s="106">
        <f t="shared" si="19"/>
        <v>109022.24</v>
      </c>
      <c r="P97" s="226">
        <f t="shared" si="20"/>
        <v>0</v>
      </c>
    </row>
    <row r="98" spans="1:16" ht="15.75" customHeight="1" x14ac:dyDescent="0.25">
      <c r="A98" s="157" t="s">
        <v>59</v>
      </c>
      <c r="B98" s="162" t="s">
        <v>292</v>
      </c>
      <c r="C98" s="108">
        <v>1200</v>
      </c>
      <c r="D98" s="122"/>
      <c r="E98" s="108"/>
      <c r="F98" s="122"/>
      <c r="G98" s="120"/>
      <c r="H98" s="207"/>
      <c r="I98" s="108"/>
      <c r="J98" s="147"/>
      <c r="K98" s="108"/>
      <c r="L98" s="129"/>
      <c r="M98" s="111"/>
      <c r="N98" s="211"/>
      <c r="O98" s="108">
        <f t="shared" si="19"/>
        <v>1200</v>
      </c>
      <c r="P98" s="140">
        <f t="shared" si="20"/>
        <v>0</v>
      </c>
    </row>
    <row r="99" spans="1:16" ht="15.75" customHeight="1" x14ac:dyDescent="0.25">
      <c r="A99" s="157" t="s">
        <v>60</v>
      </c>
      <c r="B99" s="164" t="s">
        <v>290</v>
      </c>
      <c r="C99" s="108">
        <v>19400</v>
      </c>
      <c r="D99" s="122"/>
      <c r="E99" s="108"/>
      <c r="F99" s="122"/>
      <c r="G99" s="120"/>
      <c r="H99" s="207"/>
      <c r="I99" s="108"/>
      <c r="J99" s="147"/>
      <c r="K99" s="108"/>
      <c r="L99" s="129"/>
      <c r="M99" s="111"/>
      <c r="N99" s="211"/>
      <c r="O99" s="108">
        <f t="shared" si="19"/>
        <v>19400</v>
      </c>
      <c r="P99" s="140">
        <f t="shared" si="20"/>
        <v>0</v>
      </c>
    </row>
    <row r="100" spans="1:16" ht="15.75" customHeight="1" x14ac:dyDescent="0.25">
      <c r="A100" s="157" t="s">
        <v>60</v>
      </c>
      <c r="B100" s="164" t="s">
        <v>148</v>
      </c>
      <c r="C100" s="108">
        <v>22800</v>
      </c>
      <c r="D100" s="122"/>
      <c r="E100" s="108"/>
      <c r="F100" s="122"/>
      <c r="G100" s="120"/>
      <c r="H100" s="207"/>
      <c r="I100" s="108"/>
      <c r="J100" s="147"/>
      <c r="K100" s="108"/>
      <c r="L100" s="129"/>
      <c r="M100" s="111"/>
      <c r="N100" s="211"/>
      <c r="O100" s="108">
        <f t="shared" si="19"/>
        <v>22800</v>
      </c>
      <c r="P100" s="140">
        <f t="shared" si="20"/>
        <v>0</v>
      </c>
    </row>
    <row r="101" spans="1:16" ht="15.75" customHeight="1" x14ac:dyDescent="0.25">
      <c r="A101" s="157" t="s">
        <v>61</v>
      </c>
      <c r="B101" s="164" t="s">
        <v>128</v>
      </c>
      <c r="C101" s="108">
        <v>7000</v>
      </c>
      <c r="D101" s="122"/>
      <c r="E101" s="108"/>
      <c r="F101" s="122"/>
      <c r="G101" s="120"/>
      <c r="H101" s="207"/>
      <c r="I101" s="108"/>
      <c r="J101" s="147"/>
      <c r="K101" s="108"/>
      <c r="L101" s="129"/>
      <c r="M101" s="111"/>
      <c r="N101" s="211"/>
      <c r="O101" s="108">
        <f t="shared" si="19"/>
        <v>7000</v>
      </c>
      <c r="P101" s="140">
        <f t="shared" si="20"/>
        <v>0</v>
      </c>
    </row>
    <row r="102" spans="1:16" ht="15.75" customHeight="1" x14ac:dyDescent="0.25">
      <c r="A102" s="157" t="s">
        <v>62</v>
      </c>
      <c r="B102" s="163" t="s">
        <v>143</v>
      </c>
      <c r="C102" s="108">
        <v>37300</v>
      </c>
      <c r="D102" s="122"/>
      <c r="E102" s="108"/>
      <c r="F102" s="122"/>
      <c r="G102" s="120"/>
      <c r="H102" s="207"/>
      <c r="I102" s="108">
        <v>4700</v>
      </c>
      <c r="J102" s="147"/>
      <c r="K102" s="108"/>
      <c r="L102" s="129"/>
      <c r="M102" s="111">
        <v>2022.24</v>
      </c>
      <c r="N102" s="211"/>
      <c r="O102" s="108">
        <f t="shared" si="19"/>
        <v>44022.239999999998</v>
      </c>
      <c r="P102" s="140">
        <f t="shared" si="20"/>
        <v>0</v>
      </c>
    </row>
    <row r="103" spans="1:16" ht="15.75" customHeight="1" x14ac:dyDescent="0.25">
      <c r="A103" s="157" t="s">
        <v>62</v>
      </c>
      <c r="B103" s="164" t="s">
        <v>149</v>
      </c>
      <c r="C103" s="108">
        <v>1600</v>
      </c>
      <c r="D103" s="122"/>
      <c r="E103" s="108"/>
      <c r="F103" s="122"/>
      <c r="G103" s="120"/>
      <c r="H103" s="207"/>
      <c r="I103" s="108"/>
      <c r="J103" s="147"/>
      <c r="K103" s="108"/>
      <c r="L103" s="129"/>
      <c r="M103" s="111"/>
      <c r="N103" s="211"/>
      <c r="O103" s="108">
        <f t="shared" si="19"/>
        <v>1600</v>
      </c>
      <c r="P103" s="140">
        <f t="shared" si="20"/>
        <v>0</v>
      </c>
    </row>
    <row r="104" spans="1:16" ht="15.75" customHeight="1" x14ac:dyDescent="0.25">
      <c r="A104" s="157" t="s">
        <v>62</v>
      </c>
      <c r="B104" s="164" t="s">
        <v>129</v>
      </c>
      <c r="C104" s="108">
        <v>13000</v>
      </c>
      <c r="D104" s="122"/>
      <c r="E104" s="108"/>
      <c r="F104" s="122"/>
      <c r="G104" s="120"/>
      <c r="H104" s="207"/>
      <c r="I104" s="108"/>
      <c r="J104" s="147"/>
      <c r="K104" s="108"/>
      <c r="L104" s="129"/>
      <c r="M104" s="111"/>
      <c r="N104" s="211"/>
      <c r="O104" s="108">
        <f t="shared" si="19"/>
        <v>13000</v>
      </c>
      <c r="P104" s="140">
        <f t="shared" si="20"/>
        <v>0</v>
      </c>
    </row>
    <row r="105" spans="1:16" ht="15.75" customHeight="1" x14ac:dyDescent="0.25">
      <c r="A105" s="157"/>
      <c r="B105" s="170" t="s">
        <v>154</v>
      </c>
      <c r="C105" s="106">
        <f t="shared" ref="C105:N105" si="24">SUM(C106:C113)</f>
        <v>96100</v>
      </c>
      <c r="D105" s="131">
        <f t="shared" si="24"/>
        <v>0</v>
      </c>
      <c r="E105" s="106">
        <f t="shared" si="24"/>
        <v>0</v>
      </c>
      <c r="F105" s="131">
        <f t="shared" si="24"/>
        <v>0</v>
      </c>
      <c r="G105" s="130">
        <f t="shared" si="24"/>
        <v>10000</v>
      </c>
      <c r="H105" s="219">
        <f t="shared" si="24"/>
        <v>0</v>
      </c>
      <c r="I105" s="106">
        <f t="shared" si="24"/>
        <v>1200</v>
      </c>
      <c r="J105" s="131">
        <f t="shared" si="24"/>
        <v>0</v>
      </c>
      <c r="K105" s="106">
        <f t="shared" si="24"/>
        <v>0</v>
      </c>
      <c r="L105" s="131">
        <f t="shared" si="24"/>
        <v>0</v>
      </c>
      <c r="M105" s="106">
        <f t="shared" si="24"/>
        <v>1936.71</v>
      </c>
      <c r="N105" s="219">
        <f t="shared" si="24"/>
        <v>0</v>
      </c>
      <c r="O105" s="106">
        <f t="shared" ref="O105:P106" si="25">SUM(C105,E105,G105,I105,K105,M105)</f>
        <v>109236.71</v>
      </c>
      <c r="P105" s="226">
        <f t="shared" si="25"/>
        <v>0</v>
      </c>
    </row>
    <row r="106" spans="1:16" ht="15.75" customHeight="1" x14ac:dyDescent="0.25">
      <c r="A106" s="157" t="s">
        <v>59</v>
      </c>
      <c r="B106" s="162" t="s">
        <v>292</v>
      </c>
      <c r="C106" s="108">
        <v>1500</v>
      </c>
      <c r="D106" s="122"/>
      <c r="E106" s="108"/>
      <c r="F106" s="122"/>
      <c r="G106" s="120"/>
      <c r="H106" s="207"/>
      <c r="I106" s="108"/>
      <c r="J106" s="147"/>
      <c r="K106" s="108"/>
      <c r="L106" s="129"/>
      <c r="M106" s="111"/>
      <c r="N106" s="211"/>
      <c r="O106" s="108">
        <f t="shared" si="25"/>
        <v>1500</v>
      </c>
      <c r="P106" s="140">
        <f t="shared" si="25"/>
        <v>0</v>
      </c>
    </row>
    <row r="107" spans="1:16" ht="37.799999999999997" customHeight="1" x14ac:dyDescent="0.25">
      <c r="A107" s="157" t="s">
        <v>60</v>
      </c>
      <c r="B107" s="162" t="s">
        <v>462</v>
      </c>
      <c r="C107" s="108">
        <v>9000</v>
      </c>
      <c r="D107" s="122"/>
      <c r="E107" s="108"/>
      <c r="F107" s="122"/>
      <c r="G107" s="120">
        <v>10000</v>
      </c>
      <c r="H107" s="207"/>
      <c r="I107" s="108"/>
      <c r="J107" s="147"/>
      <c r="K107" s="108"/>
      <c r="L107" s="129"/>
      <c r="M107" s="111"/>
      <c r="N107" s="211"/>
      <c r="O107" s="108">
        <f t="shared" ref="O107" si="26">SUM(C107,E107,G107,I107,K107,M107)</f>
        <v>19000</v>
      </c>
      <c r="P107" s="140">
        <f t="shared" ref="P107" si="27">SUM(D107,F107,H107,J107,L107,N107)</f>
        <v>0</v>
      </c>
    </row>
    <row r="108" spans="1:16" ht="15.75" customHeight="1" x14ac:dyDescent="0.25">
      <c r="A108" s="157" t="s">
        <v>60</v>
      </c>
      <c r="B108" s="164" t="s">
        <v>290</v>
      </c>
      <c r="C108" s="108">
        <v>200</v>
      </c>
      <c r="D108" s="122"/>
      <c r="E108" s="108"/>
      <c r="F108" s="122"/>
      <c r="G108" s="120"/>
      <c r="H108" s="207"/>
      <c r="I108" s="108"/>
      <c r="J108" s="147"/>
      <c r="K108" s="108"/>
      <c r="L108" s="129"/>
      <c r="M108" s="111"/>
      <c r="N108" s="211"/>
      <c r="O108" s="108">
        <f t="shared" si="19"/>
        <v>200</v>
      </c>
      <c r="P108" s="140">
        <f t="shared" si="20"/>
        <v>0</v>
      </c>
    </row>
    <row r="109" spans="1:16" ht="15.75" customHeight="1" x14ac:dyDescent="0.25">
      <c r="A109" s="157" t="s">
        <v>60</v>
      </c>
      <c r="B109" s="164" t="s">
        <v>148</v>
      </c>
      <c r="C109" s="108">
        <v>20600</v>
      </c>
      <c r="D109" s="122"/>
      <c r="E109" s="108"/>
      <c r="F109" s="122"/>
      <c r="G109" s="120"/>
      <c r="H109" s="207"/>
      <c r="I109" s="108"/>
      <c r="J109" s="147"/>
      <c r="K109" s="108"/>
      <c r="L109" s="129"/>
      <c r="M109" s="111"/>
      <c r="N109" s="211"/>
      <c r="O109" s="108">
        <f t="shared" si="19"/>
        <v>20600</v>
      </c>
      <c r="P109" s="140">
        <f t="shared" si="20"/>
        <v>0</v>
      </c>
    </row>
    <row r="110" spans="1:16" ht="15.75" customHeight="1" x14ac:dyDescent="0.25">
      <c r="A110" s="157" t="s">
        <v>61</v>
      </c>
      <c r="B110" s="164" t="s">
        <v>128</v>
      </c>
      <c r="C110" s="108">
        <v>8000</v>
      </c>
      <c r="D110" s="122"/>
      <c r="E110" s="108"/>
      <c r="F110" s="122"/>
      <c r="G110" s="120"/>
      <c r="H110" s="207"/>
      <c r="I110" s="108"/>
      <c r="J110" s="147"/>
      <c r="K110" s="108"/>
      <c r="L110" s="129"/>
      <c r="M110" s="111"/>
      <c r="N110" s="211"/>
      <c r="O110" s="108">
        <f t="shared" si="19"/>
        <v>8000</v>
      </c>
      <c r="P110" s="140">
        <f t="shared" si="20"/>
        <v>0</v>
      </c>
    </row>
    <row r="111" spans="1:16" ht="15.75" customHeight="1" x14ac:dyDescent="0.25">
      <c r="A111" s="157" t="s">
        <v>62</v>
      </c>
      <c r="B111" s="163" t="s">
        <v>143</v>
      </c>
      <c r="C111" s="108">
        <v>25600</v>
      </c>
      <c r="D111" s="122"/>
      <c r="E111" s="108"/>
      <c r="F111" s="122"/>
      <c r="G111" s="120"/>
      <c r="H111" s="207"/>
      <c r="I111" s="108">
        <v>1200</v>
      </c>
      <c r="J111" s="147"/>
      <c r="K111" s="108"/>
      <c r="L111" s="129"/>
      <c r="M111" s="111">
        <v>1936.71</v>
      </c>
      <c r="N111" s="211"/>
      <c r="O111" s="108">
        <f t="shared" si="19"/>
        <v>28736.71</v>
      </c>
      <c r="P111" s="140">
        <f t="shared" si="20"/>
        <v>0</v>
      </c>
    </row>
    <row r="112" spans="1:16" ht="15.75" customHeight="1" x14ac:dyDescent="0.25">
      <c r="A112" s="157" t="s">
        <v>62</v>
      </c>
      <c r="B112" s="163" t="s">
        <v>524</v>
      </c>
      <c r="C112" s="108">
        <v>20000</v>
      </c>
      <c r="D112" s="122"/>
      <c r="E112" s="108"/>
      <c r="F112" s="122"/>
      <c r="G112" s="120"/>
      <c r="H112" s="207"/>
      <c r="I112" s="108"/>
      <c r="J112" s="147"/>
      <c r="K112" s="108"/>
      <c r="L112" s="129"/>
      <c r="M112" s="111"/>
      <c r="N112" s="211"/>
      <c r="O112" s="108">
        <f t="shared" si="19"/>
        <v>20000</v>
      </c>
      <c r="P112" s="140">
        <f t="shared" si="20"/>
        <v>0</v>
      </c>
    </row>
    <row r="113" spans="1:16" ht="15.75" customHeight="1" x14ac:dyDescent="0.25">
      <c r="A113" s="157" t="s">
        <v>62</v>
      </c>
      <c r="B113" s="164" t="s">
        <v>129</v>
      </c>
      <c r="C113" s="108">
        <v>11200</v>
      </c>
      <c r="D113" s="122"/>
      <c r="E113" s="108"/>
      <c r="F113" s="122"/>
      <c r="G113" s="120"/>
      <c r="H113" s="207"/>
      <c r="I113" s="108"/>
      <c r="J113" s="147"/>
      <c r="K113" s="108"/>
      <c r="L113" s="129"/>
      <c r="M113" s="111"/>
      <c r="N113" s="211"/>
      <c r="O113" s="108">
        <f t="shared" si="19"/>
        <v>11200</v>
      </c>
      <c r="P113" s="140">
        <f t="shared" si="20"/>
        <v>0</v>
      </c>
    </row>
    <row r="114" spans="1:16" ht="15.75" customHeight="1" x14ac:dyDescent="0.25">
      <c r="A114" s="157"/>
      <c r="B114" s="170" t="s">
        <v>155</v>
      </c>
      <c r="C114" s="106">
        <f t="shared" ref="C114:N114" si="28">SUM(C115:C121)</f>
        <v>77400</v>
      </c>
      <c r="D114" s="131">
        <f t="shared" si="28"/>
        <v>0</v>
      </c>
      <c r="E114" s="106">
        <f t="shared" si="28"/>
        <v>0</v>
      </c>
      <c r="F114" s="131">
        <f t="shared" si="28"/>
        <v>0</v>
      </c>
      <c r="G114" s="130">
        <f t="shared" si="28"/>
        <v>0</v>
      </c>
      <c r="H114" s="131">
        <f t="shared" si="28"/>
        <v>0</v>
      </c>
      <c r="I114" s="106">
        <f t="shared" si="28"/>
        <v>6600</v>
      </c>
      <c r="J114" s="131">
        <f t="shared" si="28"/>
        <v>0</v>
      </c>
      <c r="K114" s="106">
        <f t="shared" si="28"/>
        <v>0</v>
      </c>
      <c r="L114" s="131">
        <f t="shared" si="28"/>
        <v>0</v>
      </c>
      <c r="M114" s="106">
        <f t="shared" si="28"/>
        <v>1739.3</v>
      </c>
      <c r="N114" s="131">
        <f t="shared" si="28"/>
        <v>0</v>
      </c>
      <c r="O114" s="106">
        <f t="shared" si="19"/>
        <v>85739.3</v>
      </c>
      <c r="P114" s="226">
        <f t="shared" si="20"/>
        <v>0</v>
      </c>
    </row>
    <row r="115" spans="1:16" ht="15.75" customHeight="1" x14ac:dyDescent="0.25">
      <c r="A115" s="157" t="s">
        <v>59</v>
      </c>
      <c r="B115" s="162" t="s">
        <v>292</v>
      </c>
      <c r="C115" s="108">
        <v>1300</v>
      </c>
      <c r="D115" s="122"/>
      <c r="E115" s="108"/>
      <c r="F115" s="122"/>
      <c r="G115" s="220"/>
      <c r="H115" s="207"/>
      <c r="I115" s="108"/>
      <c r="J115" s="147"/>
      <c r="K115" s="108"/>
      <c r="L115" s="129"/>
      <c r="M115" s="128"/>
      <c r="N115" s="211"/>
      <c r="O115" s="108">
        <f t="shared" si="19"/>
        <v>1300</v>
      </c>
      <c r="P115" s="140">
        <f t="shared" si="20"/>
        <v>0</v>
      </c>
    </row>
    <row r="116" spans="1:16" ht="15.75" customHeight="1" x14ac:dyDescent="0.25">
      <c r="A116" s="157" t="s">
        <v>60</v>
      </c>
      <c r="B116" s="164" t="s">
        <v>290</v>
      </c>
      <c r="C116" s="108">
        <v>300</v>
      </c>
      <c r="D116" s="122"/>
      <c r="E116" s="108"/>
      <c r="F116" s="122"/>
      <c r="G116" s="120"/>
      <c r="H116" s="207"/>
      <c r="I116" s="108"/>
      <c r="J116" s="147"/>
      <c r="K116" s="108"/>
      <c r="L116" s="129"/>
      <c r="M116" s="111"/>
      <c r="N116" s="211"/>
      <c r="O116" s="108">
        <f t="shared" si="19"/>
        <v>300</v>
      </c>
      <c r="P116" s="140">
        <f t="shared" si="20"/>
        <v>0</v>
      </c>
    </row>
    <row r="117" spans="1:16" ht="15.75" customHeight="1" x14ac:dyDescent="0.25">
      <c r="A117" s="157" t="s">
        <v>60</v>
      </c>
      <c r="B117" s="164" t="s">
        <v>148</v>
      </c>
      <c r="C117" s="108">
        <v>21100</v>
      </c>
      <c r="D117" s="122"/>
      <c r="E117" s="108"/>
      <c r="F117" s="122"/>
      <c r="G117" s="120"/>
      <c r="H117" s="207"/>
      <c r="I117" s="108"/>
      <c r="J117" s="147"/>
      <c r="K117" s="108"/>
      <c r="L117" s="129"/>
      <c r="M117" s="111"/>
      <c r="N117" s="211"/>
      <c r="O117" s="108">
        <f t="shared" si="19"/>
        <v>21100</v>
      </c>
      <c r="P117" s="140">
        <f t="shared" si="20"/>
        <v>0</v>
      </c>
    </row>
    <row r="118" spans="1:16" ht="15.75" customHeight="1" x14ac:dyDescent="0.25">
      <c r="A118" s="157" t="s">
        <v>61</v>
      </c>
      <c r="B118" s="164" t="s">
        <v>128</v>
      </c>
      <c r="C118" s="108">
        <v>12500</v>
      </c>
      <c r="D118" s="122"/>
      <c r="E118" s="108"/>
      <c r="F118" s="122"/>
      <c r="G118" s="120"/>
      <c r="H118" s="207"/>
      <c r="I118" s="108"/>
      <c r="J118" s="147"/>
      <c r="K118" s="108"/>
      <c r="L118" s="129"/>
      <c r="M118" s="111"/>
      <c r="N118" s="211"/>
      <c r="O118" s="108">
        <f t="shared" si="19"/>
        <v>12500</v>
      </c>
      <c r="P118" s="140">
        <f t="shared" si="20"/>
        <v>0</v>
      </c>
    </row>
    <row r="119" spans="1:16" ht="15.75" customHeight="1" x14ac:dyDescent="0.25">
      <c r="A119" s="157" t="s">
        <v>62</v>
      </c>
      <c r="B119" s="164" t="s">
        <v>149</v>
      </c>
      <c r="C119" s="108">
        <v>500</v>
      </c>
      <c r="D119" s="122"/>
      <c r="E119" s="108"/>
      <c r="F119" s="122"/>
      <c r="G119" s="120"/>
      <c r="H119" s="207"/>
      <c r="I119" s="108"/>
      <c r="J119" s="147"/>
      <c r="K119" s="108"/>
      <c r="L119" s="129"/>
      <c r="M119" s="111"/>
      <c r="N119" s="211"/>
      <c r="O119" s="108">
        <f t="shared" si="19"/>
        <v>500</v>
      </c>
      <c r="P119" s="140">
        <f t="shared" si="20"/>
        <v>0</v>
      </c>
    </row>
    <row r="120" spans="1:16" ht="15.75" customHeight="1" x14ac:dyDescent="0.25">
      <c r="A120" s="157" t="s">
        <v>62</v>
      </c>
      <c r="B120" s="163" t="s">
        <v>143</v>
      </c>
      <c r="C120" s="108">
        <v>27000</v>
      </c>
      <c r="D120" s="122"/>
      <c r="E120" s="108"/>
      <c r="F120" s="122"/>
      <c r="G120" s="120"/>
      <c r="H120" s="207"/>
      <c r="I120" s="108">
        <v>6600</v>
      </c>
      <c r="J120" s="147"/>
      <c r="K120" s="108"/>
      <c r="L120" s="129"/>
      <c r="M120" s="111">
        <v>1739.3</v>
      </c>
      <c r="N120" s="211"/>
      <c r="O120" s="108">
        <f t="shared" si="19"/>
        <v>35339.300000000003</v>
      </c>
      <c r="P120" s="140">
        <f t="shared" si="20"/>
        <v>0</v>
      </c>
    </row>
    <row r="121" spans="1:16" ht="15.75" customHeight="1" x14ac:dyDescent="0.25">
      <c r="A121" s="157" t="s">
        <v>62</v>
      </c>
      <c r="B121" s="164" t="s">
        <v>129</v>
      </c>
      <c r="C121" s="108">
        <v>14700</v>
      </c>
      <c r="D121" s="122"/>
      <c r="E121" s="108"/>
      <c r="F121" s="122"/>
      <c r="G121" s="120"/>
      <c r="H121" s="207"/>
      <c r="I121" s="108"/>
      <c r="J121" s="147"/>
      <c r="K121" s="108"/>
      <c r="L121" s="129"/>
      <c r="M121" s="111"/>
      <c r="N121" s="211"/>
      <c r="O121" s="108">
        <f t="shared" si="19"/>
        <v>14700</v>
      </c>
      <c r="P121" s="140">
        <f t="shared" si="20"/>
        <v>0</v>
      </c>
    </row>
    <row r="122" spans="1:16" ht="15.75" customHeight="1" x14ac:dyDescent="0.25">
      <c r="A122" s="157"/>
      <c r="B122" s="170" t="s">
        <v>156</v>
      </c>
      <c r="C122" s="106">
        <f t="shared" ref="C122:N122" si="29">SUM(C123:C126)</f>
        <v>58200</v>
      </c>
      <c r="D122" s="131">
        <f t="shared" si="29"/>
        <v>0</v>
      </c>
      <c r="E122" s="106">
        <f t="shared" si="29"/>
        <v>0</v>
      </c>
      <c r="F122" s="131">
        <f t="shared" si="29"/>
        <v>0</v>
      </c>
      <c r="G122" s="130">
        <f t="shared" si="29"/>
        <v>0</v>
      </c>
      <c r="H122" s="219">
        <f t="shared" si="29"/>
        <v>0</v>
      </c>
      <c r="I122" s="106">
        <f t="shared" si="29"/>
        <v>800</v>
      </c>
      <c r="J122" s="131">
        <f t="shared" si="29"/>
        <v>0</v>
      </c>
      <c r="K122" s="106">
        <f t="shared" si="29"/>
        <v>0</v>
      </c>
      <c r="L122" s="131">
        <f t="shared" si="29"/>
        <v>0</v>
      </c>
      <c r="M122" s="106">
        <f t="shared" si="29"/>
        <v>209.99</v>
      </c>
      <c r="N122" s="219">
        <f t="shared" si="29"/>
        <v>0</v>
      </c>
      <c r="O122" s="106">
        <f t="shared" si="19"/>
        <v>59209.99</v>
      </c>
      <c r="P122" s="226">
        <f t="shared" si="20"/>
        <v>0</v>
      </c>
    </row>
    <row r="123" spans="1:16" ht="15.75" customHeight="1" x14ac:dyDescent="0.25">
      <c r="A123" s="157" t="s">
        <v>60</v>
      </c>
      <c r="B123" s="164" t="s">
        <v>148</v>
      </c>
      <c r="C123" s="108">
        <v>14700</v>
      </c>
      <c r="D123" s="122"/>
      <c r="E123" s="108"/>
      <c r="F123" s="122"/>
      <c r="G123" s="120"/>
      <c r="H123" s="207"/>
      <c r="I123" s="108"/>
      <c r="J123" s="147"/>
      <c r="K123" s="108"/>
      <c r="L123" s="129"/>
      <c r="M123" s="111"/>
      <c r="N123" s="211"/>
      <c r="O123" s="108">
        <f t="shared" si="19"/>
        <v>14700</v>
      </c>
      <c r="P123" s="140"/>
    </row>
    <row r="124" spans="1:16" ht="15.75" customHeight="1" x14ac:dyDescent="0.25">
      <c r="A124" s="157" t="s">
        <v>61</v>
      </c>
      <c r="B124" s="164" t="s">
        <v>128</v>
      </c>
      <c r="C124" s="108">
        <v>11900</v>
      </c>
      <c r="D124" s="122"/>
      <c r="E124" s="108"/>
      <c r="F124" s="122"/>
      <c r="G124" s="120"/>
      <c r="H124" s="207"/>
      <c r="I124" s="108"/>
      <c r="J124" s="147"/>
      <c r="K124" s="108"/>
      <c r="L124" s="129"/>
      <c r="M124" s="111"/>
      <c r="N124" s="211"/>
      <c r="O124" s="108">
        <f t="shared" si="19"/>
        <v>11900</v>
      </c>
      <c r="P124" s="140"/>
    </row>
    <row r="125" spans="1:16" ht="15.75" customHeight="1" x14ac:dyDescent="0.25">
      <c r="A125" s="157" t="s">
        <v>62</v>
      </c>
      <c r="B125" s="163" t="s">
        <v>143</v>
      </c>
      <c r="C125" s="108">
        <v>24500</v>
      </c>
      <c r="D125" s="122"/>
      <c r="E125" s="108"/>
      <c r="F125" s="122"/>
      <c r="G125" s="120"/>
      <c r="H125" s="207"/>
      <c r="I125" s="108">
        <v>800</v>
      </c>
      <c r="J125" s="147"/>
      <c r="K125" s="108"/>
      <c r="L125" s="129"/>
      <c r="M125" s="111">
        <v>209.99</v>
      </c>
      <c r="N125" s="211"/>
      <c r="O125" s="108">
        <f t="shared" si="19"/>
        <v>25509.99</v>
      </c>
      <c r="P125" s="140">
        <f t="shared" si="20"/>
        <v>0</v>
      </c>
    </row>
    <row r="126" spans="1:16" ht="15.75" customHeight="1" x14ac:dyDescent="0.25">
      <c r="A126" s="157" t="s">
        <v>62</v>
      </c>
      <c r="B126" s="164" t="s">
        <v>129</v>
      </c>
      <c r="C126" s="108">
        <v>7100</v>
      </c>
      <c r="D126" s="122"/>
      <c r="E126" s="108"/>
      <c r="F126" s="122"/>
      <c r="G126" s="120"/>
      <c r="H126" s="207"/>
      <c r="I126" s="108"/>
      <c r="J126" s="147"/>
      <c r="K126" s="108"/>
      <c r="L126" s="129"/>
      <c r="M126" s="111"/>
      <c r="N126" s="211"/>
      <c r="O126" s="108">
        <f t="shared" si="19"/>
        <v>7100</v>
      </c>
      <c r="P126" s="140">
        <f t="shared" si="20"/>
        <v>0</v>
      </c>
    </row>
    <row r="127" spans="1:16" ht="15.75" customHeight="1" x14ac:dyDescent="0.25">
      <c r="A127" s="157"/>
      <c r="B127" s="170" t="s">
        <v>157</v>
      </c>
      <c r="C127" s="106">
        <f t="shared" ref="C127:N127" si="30">SUM(C128:C133)</f>
        <v>48800</v>
      </c>
      <c r="D127" s="131">
        <f t="shared" si="30"/>
        <v>0</v>
      </c>
      <c r="E127" s="106">
        <f t="shared" si="30"/>
        <v>0</v>
      </c>
      <c r="F127" s="131">
        <f t="shared" si="30"/>
        <v>0</v>
      </c>
      <c r="G127" s="130">
        <f t="shared" si="30"/>
        <v>0</v>
      </c>
      <c r="H127" s="219">
        <f t="shared" si="30"/>
        <v>0</v>
      </c>
      <c r="I127" s="106">
        <f t="shared" si="30"/>
        <v>400</v>
      </c>
      <c r="J127" s="131">
        <f t="shared" si="30"/>
        <v>0</v>
      </c>
      <c r="K127" s="106">
        <f t="shared" si="30"/>
        <v>0</v>
      </c>
      <c r="L127" s="131">
        <f t="shared" si="30"/>
        <v>0</v>
      </c>
      <c r="M127" s="106">
        <f t="shared" si="30"/>
        <v>308.32</v>
      </c>
      <c r="N127" s="219">
        <f t="shared" si="30"/>
        <v>0</v>
      </c>
      <c r="O127" s="106">
        <f t="shared" si="19"/>
        <v>49508.32</v>
      </c>
      <c r="P127" s="226">
        <f t="shared" si="20"/>
        <v>0</v>
      </c>
    </row>
    <row r="128" spans="1:16" ht="15.75" customHeight="1" x14ac:dyDescent="0.25">
      <c r="A128" s="157" t="s">
        <v>60</v>
      </c>
      <c r="B128" s="164" t="s">
        <v>290</v>
      </c>
      <c r="C128" s="108">
        <v>200</v>
      </c>
      <c r="D128" s="122"/>
      <c r="E128" s="108"/>
      <c r="F128" s="122"/>
      <c r="G128" s="120"/>
      <c r="H128" s="207"/>
      <c r="I128" s="108"/>
      <c r="J128" s="147"/>
      <c r="K128" s="108"/>
      <c r="L128" s="129"/>
      <c r="M128" s="111"/>
      <c r="N128" s="211"/>
      <c r="O128" s="108">
        <f t="shared" si="19"/>
        <v>200</v>
      </c>
      <c r="P128" s="140">
        <f t="shared" si="20"/>
        <v>0</v>
      </c>
    </row>
    <row r="129" spans="1:16" ht="15.75" customHeight="1" x14ac:dyDescent="0.25">
      <c r="A129" s="157" t="s">
        <v>60</v>
      </c>
      <c r="B129" s="164" t="s">
        <v>148</v>
      </c>
      <c r="C129" s="108">
        <v>12200</v>
      </c>
      <c r="D129" s="122"/>
      <c r="E129" s="108"/>
      <c r="F129" s="122"/>
      <c r="G129" s="220"/>
      <c r="H129" s="207"/>
      <c r="I129" s="108"/>
      <c r="J129" s="147"/>
      <c r="K129" s="108"/>
      <c r="L129" s="129"/>
      <c r="M129" s="128"/>
      <c r="N129" s="211"/>
      <c r="O129" s="108">
        <f t="shared" si="19"/>
        <v>12200</v>
      </c>
      <c r="P129" s="140">
        <f t="shared" si="20"/>
        <v>0</v>
      </c>
    </row>
    <row r="130" spans="1:16" ht="15.75" customHeight="1" x14ac:dyDescent="0.25">
      <c r="A130" s="157" t="s">
        <v>61</v>
      </c>
      <c r="B130" s="164" t="s">
        <v>128</v>
      </c>
      <c r="C130" s="108">
        <v>12800</v>
      </c>
      <c r="D130" s="122"/>
      <c r="E130" s="108"/>
      <c r="F130" s="122"/>
      <c r="G130" s="120"/>
      <c r="H130" s="207"/>
      <c r="I130" s="108"/>
      <c r="J130" s="147"/>
      <c r="K130" s="108"/>
      <c r="L130" s="129"/>
      <c r="M130" s="111"/>
      <c r="N130" s="211"/>
      <c r="O130" s="108">
        <f t="shared" si="19"/>
        <v>12800</v>
      </c>
      <c r="P130" s="140">
        <f t="shared" si="20"/>
        <v>0</v>
      </c>
    </row>
    <row r="131" spans="1:16" ht="15.75" customHeight="1" x14ac:dyDescent="0.25">
      <c r="A131" s="157" t="s">
        <v>62</v>
      </c>
      <c r="B131" s="164" t="s">
        <v>149</v>
      </c>
      <c r="C131" s="108">
        <v>500</v>
      </c>
      <c r="D131" s="122"/>
      <c r="E131" s="108"/>
      <c r="F131" s="122"/>
      <c r="G131" s="120"/>
      <c r="H131" s="207"/>
      <c r="I131" s="108"/>
      <c r="J131" s="147"/>
      <c r="K131" s="108"/>
      <c r="L131" s="129"/>
      <c r="M131" s="111"/>
      <c r="N131" s="211"/>
      <c r="O131" s="108">
        <f t="shared" si="19"/>
        <v>500</v>
      </c>
      <c r="P131" s="140">
        <f t="shared" si="20"/>
        <v>0</v>
      </c>
    </row>
    <row r="132" spans="1:16" ht="15.75" customHeight="1" x14ac:dyDescent="0.25">
      <c r="A132" s="157" t="s">
        <v>62</v>
      </c>
      <c r="B132" s="163" t="s">
        <v>143</v>
      </c>
      <c r="C132" s="108">
        <v>14100</v>
      </c>
      <c r="D132" s="122"/>
      <c r="E132" s="108"/>
      <c r="F132" s="122"/>
      <c r="G132" s="120"/>
      <c r="H132" s="207"/>
      <c r="I132" s="108">
        <v>400</v>
      </c>
      <c r="J132" s="147"/>
      <c r="K132" s="108"/>
      <c r="L132" s="129"/>
      <c r="M132" s="111">
        <v>308.32</v>
      </c>
      <c r="N132" s="211"/>
      <c r="O132" s="108">
        <f t="shared" si="19"/>
        <v>14808.32</v>
      </c>
      <c r="P132" s="140">
        <f t="shared" si="20"/>
        <v>0</v>
      </c>
    </row>
    <row r="133" spans="1:16" ht="15.75" customHeight="1" x14ac:dyDescent="0.25">
      <c r="A133" s="157" t="s">
        <v>62</v>
      </c>
      <c r="B133" s="164" t="s">
        <v>129</v>
      </c>
      <c r="C133" s="108">
        <v>9000</v>
      </c>
      <c r="D133" s="122"/>
      <c r="E133" s="108"/>
      <c r="F133" s="122"/>
      <c r="G133" s="120"/>
      <c r="H133" s="207"/>
      <c r="I133" s="108"/>
      <c r="J133" s="147"/>
      <c r="K133" s="108"/>
      <c r="L133" s="129"/>
      <c r="M133" s="111"/>
      <c r="N133" s="211"/>
      <c r="O133" s="108">
        <f t="shared" si="19"/>
        <v>9000</v>
      </c>
      <c r="P133" s="140">
        <f t="shared" si="20"/>
        <v>0</v>
      </c>
    </row>
    <row r="134" spans="1:16" ht="15.75" customHeight="1" x14ac:dyDescent="0.25">
      <c r="A134" s="157"/>
      <c r="B134" s="170" t="s">
        <v>158</v>
      </c>
      <c r="C134" s="106">
        <f t="shared" ref="C134:N134" si="31">SUM(C135:C139)</f>
        <v>41200</v>
      </c>
      <c r="D134" s="131">
        <f t="shared" si="31"/>
        <v>0</v>
      </c>
      <c r="E134" s="106">
        <f t="shared" si="31"/>
        <v>0</v>
      </c>
      <c r="F134" s="131">
        <f t="shared" si="31"/>
        <v>0</v>
      </c>
      <c r="G134" s="130">
        <f t="shared" si="31"/>
        <v>0</v>
      </c>
      <c r="H134" s="219">
        <f t="shared" si="31"/>
        <v>0</v>
      </c>
      <c r="I134" s="106">
        <f t="shared" si="31"/>
        <v>500</v>
      </c>
      <c r="J134" s="131">
        <f t="shared" si="31"/>
        <v>0</v>
      </c>
      <c r="K134" s="106">
        <f t="shared" si="31"/>
        <v>0</v>
      </c>
      <c r="L134" s="131">
        <f t="shared" si="31"/>
        <v>0</v>
      </c>
      <c r="M134" s="106">
        <f t="shared" si="31"/>
        <v>528.36</v>
      </c>
      <c r="N134" s="219">
        <f t="shared" si="31"/>
        <v>0</v>
      </c>
      <c r="O134" s="106">
        <f t="shared" si="19"/>
        <v>42228.36</v>
      </c>
      <c r="P134" s="226">
        <f t="shared" si="20"/>
        <v>0</v>
      </c>
    </row>
    <row r="135" spans="1:16" ht="15.75" customHeight="1" x14ac:dyDescent="0.25">
      <c r="A135" s="157" t="s">
        <v>60</v>
      </c>
      <c r="B135" s="164" t="s">
        <v>290</v>
      </c>
      <c r="C135" s="108">
        <v>100</v>
      </c>
      <c r="D135" s="122"/>
      <c r="E135" s="108"/>
      <c r="F135" s="122"/>
      <c r="G135" s="120"/>
      <c r="H135" s="207"/>
      <c r="I135" s="108"/>
      <c r="J135" s="147"/>
      <c r="K135" s="108"/>
      <c r="L135" s="129"/>
      <c r="M135" s="111"/>
      <c r="N135" s="211"/>
      <c r="O135" s="108">
        <f t="shared" si="19"/>
        <v>100</v>
      </c>
      <c r="P135" s="140">
        <f t="shared" si="20"/>
        <v>0</v>
      </c>
    </row>
    <row r="136" spans="1:16" ht="15.75" customHeight="1" x14ac:dyDescent="0.25">
      <c r="A136" s="157" t="s">
        <v>60</v>
      </c>
      <c r="B136" s="164" t="s">
        <v>148</v>
      </c>
      <c r="C136" s="108">
        <v>14700</v>
      </c>
      <c r="D136" s="122"/>
      <c r="E136" s="108"/>
      <c r="F136" s="122"/>
      <c r="G136" s="120"/>
      <c r="H136" s="207"/>
      <c r="I136" s="108"/>
      <c r="J136" s="147"/>
      <c r="K136" s="108"/>
      <c r="L136" s="129"/>
      <c r="M136" s="111"/>
      <c r="N136" s="211"/>
      <c r="O136" s="108">
        <f t="shared" si="19"/>
        <v>14700</v>
      </c>
      <c r="P136" s="140">
        <f t="shared" si="20"/>
        <v>0</v>
      </c>
    </row>
    <row r="137" spans="1:16" ht="15.75" customHeight="1" x14ac:dyDescent="0.25">
      <c r="A137" s="157" t="s">
        <v>61</v>
      </c>
      <c r="B137" s="164" t="s">
        <v>128</v>
      </c>
      <c r="C137" s="108">
        <v>8500</v>
      </c>
      <c r="D137" s="122"/>
      <c r="E137" s="108"/>
      <c r="F137" s="122"/>
      <c r="G137" s="120"/>
      <c r="H137" s="207"/>
      <c r="I137" s="108"/>
      <c r="J137" s="147"/>
      <c r="K137" s="108"/>
      <c r="L137" s="129"/>
      <c r="M137" s="111"/>
      <c r="N137" s="211"/>
      <c r="O137" s="108">
        <f t="shared" si="19"/>
        <v>8500</v>
      </c>
      <c r="P137" s="140">
        <f t="shared" si="20"/>
        <v>0</v>
      </c>
    </row>
    <row r="138" spans="1:16" ht="15.75" customHeight="1" x14ac:dyDescent="0.25">
      <c r="A138" s="157" t="s">
        <v>62</v>
      </c>
      <c r="B138" s="163" t="s">
        <v>143</v>
      </c>
      <c r="C138" s="108">
        <v>13500</v>
      </c>
      <c r="D138" s="122"/>
      <c r="E138" s="108"/>
      <c r="F138" s="122"/>
      <c r="G138" s="120"/>
      <c r="H138" s="207"/>
      <c r="I138" s="108">
        <v>500</v>
      </c>
      <c r="J138" s="147"/>
      <c r="K138" s="108"/>
      <c r="L138" s="129"/>
      <c r="M138" s="111">
        <v>528.36</v>
      </c>
      <c r="N138" s="211"/>
      <c r="O138" s="108">
        <f t="shared" ref="O138:O150" si="32">SUM(C138,E138,G138,I138,K138,M138)</f>
        <v>14528.36</v>
      </c>
      <c r="P138" s="140">
        <f t="shared" ref="P138:P150" si="33">SUM(D138,F138,H138,J138,L138,N138)</f>
        <v>0</v>
      </c>
    </row>
    <row r="139" spans="1:16" ht="15.75" customHeight="1" x14ac:dyDescent="0.25">
      <c r="A139" s="157" t="s">
        <v>62</v>
      </c>
      <c r="B139" s="164" t="s">
        <v>129</v>
      </c>
      <c r="C139" s="108">
        <v>4400</v>
      </c>
      <c r="D139" s="122"/>
      <c r="E139" s="108"/>
      <c r="F139" s="122"/>
      <c r="G139" s="120"/>
      <c r="H139" s="207"/>
      <c r="I139" s="108"/>
      <c r="J139" s="147"/>
      <c r="K139" s="108"/>
      <c r="L139" s="129"/>
      <c r="M139" s="111"/>
      <c r="N139" s="211"/>
      <c r="O139" s="108">
        <f t="shared" si="32"/>
        <v>4400</v>
      </c>
      <c r="P139" s="140">
        <f t="shared" si="33"/>
        <v>0</v>
      </c>
    </row>
    <row r="140" spans="1:16" ht="15.75" customHeight="1" x14ac:dyDescent="0.25">
      <c r="A140" s="157"/>
      <c r="B140" s="170" t="s">
        <v>159</v>
      </c>
      <c r="C140" s="106">
        <f t="shared" ref="C140:N140" si="34">SUM(C141:C146)</f>
        <v>35500</v>
      </c>
      <c r="D140" s="131">
        <f t="shared" si="34"/>
        <v>0</v>
      </c>
      <c r="E140" s="106">
        <f t="shared" si="34"/>
        <v>0</v>
      </c>
      <c r="F140" s="131">
        <f t="shared" si="34"/>
        <v>0</v>
      </c>
      <c r="G140" s="224">
        <f t="shared" si="34"/>
        <v>0</v>
      </c>
      <c r="H140" s="219">
        <f t="shared" si="34"/>
        <v>0</v>
      </c>
      <c r="I140" s="106">
        <f t="shared" si="34"/>
        <v>1000</v>
      </c>
      <c r="J140" s="131">
        <f t="shared" si="34"/>
        <v>0</v>
      </c>
      <c r="K140" s="106">
        <f t="shared" si="34"/>
        <v>0</v>
      </c>
      <c r="L140" s="131">
        <f t="shared" si="34"/>
        <v>0</v>
      </c>
      <c r="M140" s="106">
        <f t="shared" si="34"/>
        <v>578.16</v>
      </c>
      <c r="N140" s="219">
        <f t="shared" si="34"/>
        <v>0</v>
      </c>
      <c r="O140" s="106">
        <f t="shared" si="32"/>
        <v>37078.160000000003</v>
      </c>
      <c r="P140" s="226">
        <f t="shared" si="33"/>
        <v>0</v>
      </c>
    </row>
    <row r="141" spans="1:16" ht="15.75" customHeight="1" x14ac:dyDescent="0.25">
      <c r="A141" s="157" t="s">
        <v>60</v>
      </c>
      <c r="B141" s="164" t="s">
        <v>290</v>
      </c>
      <c r="C141" s="108">
        <v>200</v>
      </c>
      <c r="D141" s="122"/>
      <c r="E141" s="108"/>
      <c r="F141" s="122"/>
      <c r="G141" s="120"/>
      <c r="H141" s="207"/>
      <c r="I141" s="108"/>
      <c r="J141" s="147"/>
      <c r="K141" s="108"/>
      <c r="L141" s="129"/>
      <c r="M141" s="111"/>
      <c r="N141" s="211"/>
      <c r="O141" s="108">
        <f t="shared" si="32"/>
        <v>200</v>
      </c>
      <c r="P141" s="140">
        <f t="shared" si="33"/>
        <v>0</v>
      </c>
    </row>
    <row r="142" spans="1:16" ht="15.75" customHeight="1" x14ac:dyDescent="0.25">
      <c r="A142" s="157" t="s">
        <v>60</v>
      </c>
      <c r="B142" s="164" t="s">
        <v>148</v>
      </c>
      <c r="C142" s="108">
        <v>7600</v>
      </c>
      <c r="D142" s="122"/>
      <c r="E142" s="108"/>
      <c r="F142" s="122"/>
      <c r="G142" s="120"/>
      <c r="H142" s="207"/>
      <c r="I142" s="108"/>
      <c r="J142" s="147"/>
      <c r="K142" s="108"/>
      <c r="L142" s="129"/>
      <c r="M142" s="111"/>
      <c r="N142" s="211"/>
      <c r="O142" s="108">
        <f t="shared" si="32"/>
        <v>7600</v>
      </c>
      <c r="P142" s="140">
        <f t="shared" si="33"/>
        <v>0</v>
      </c>
    </row>
    <row r="143" spans="1:16" ht="15.75" customHeight="1" x14ac:dyDescent="0.25">
      <c r="A143" s="157" t="s">
        <v>61</v>
      </c>
      <c r="B143" s="164" t="s">
        <v>128</v>
      </c>
      <c r="C143" s="108">
        <v>4500</v>
      </c>
      <c r="D143" s="122"/>
      <c r="E143" s="108"/>
      <c r="F143" s="122"/>
      <c r="G143" s="120"/>
      <c r="H143" s="207"/>
      <c r="I143" s="108"/>
      <c r="J143" s="147"/>
      <c r="K143" s="108"/>
      <c r="L143" s="129"/>
      <c r="M143" s="111"/>
      <c r="N143" s="211"/>
      <c r="O143" s="108">
        <f t="shared" si="32"/>
        <v>4500</v>
      </c>
      <c r="P143" s="140">
        <f t="shared" si="33"/>
        <v>0</v>
      </c>
    </row>
    <row r="144" spans="1:16" ht="15.75" customHeight="1" x14ac:dyDescent="0.25">
      <c r="A144" s="157" t="s">
        <v>62</v>
      </c>
      <c r="B144" s="164" t="s">
        <v>149</v>
      </c>
      <c r="C144" s="108">
        <v>100</v>
      </c>
      <c r="D144" s="122"/>
      <c r="E144" s="108"/>
      <c r="F144" s="122"/>
      <c r="G144" s="120"/>
      <c r="H144" s="207"/>
      <c r="I144" s="108"/>
      <c r="J144" s="147"/>
      <c r="K144" s="108"/>
      <c r="L144" s="129"/>
      <c r="M144" s="111"/>
      <c r="N144" s="211"/>
      <c r="O144" s="108">
        <f t="shared" si="32"/>
        <v>100</v>
      </c>
      <c r="P144" s="140">
        <f t="shared" si="33"/>
        <v>0</v>
      </c>
    </row>
    <row r="145" spans="1:16" ht="15.75" customHeight="1" x14ac:dyDescent="0.25">
      <c r="A145" s="157" t="s">
        <v>62</v>
      </c>
      <c r="B145" s="163" t="s">
        <v>143</v>
      </c>
      <c r="C145" s="108">
        <v>19100</v>
      </c>
      <c r="D145" s="122"/>
      <c r="E145" s="108"/>
      <c r="F145" s="122"/>
      <c r="G145" s="120"/>
      <c r="H145" s="207"/>
      <c r="I145" s="108">
        <v>1000</v>
      </c>
      <c r="J145" s="147"/>
      <c r="K145" s="108"/>
      <c r="L145" s="129"/>
      <c r="M145" s="111">
        <v>578.16</v>
      </c>
      <c r="N145" s="211"/>
      <c r="O145" s="108">
        <f t="shared" si="32"/>
        <v>20678.16</v>
      </c>
      <c r="P145" s="140">
        <f t="shared" si="33"/>
        <v>0</v>
      </c>
    </row>
    <row r="146" spans="1:16" ht="15.75" customHeight="1" x14ac:dyDescent="0.25">
      <c r="A146" s="157" t="s">
        <v>62</v>
      </c>
      <c r="B146" s="164" t="s">
        <v>129</v>
      </c>
      <c r="C146" s="108">
        <v>4000</v>
      </c>
      <c r="D146" s="122"/>
      <c r="E146" s="108"/>
      <c r="F146" s="122"/>
      <c r="G146" s="120"/>
      <c r="H146" s="207"/>
      <c r="I146" s="108"/>
      <c r="J146" s="147"/>
      <c r="K146" s="108"/>
      <c r="L146" s="129"/>
      <c r="M146" s="111"/>
      <c r="N146" s="211"/>
      <c r="O146" s="108">
        <f t="shared" si="32"/>
        <v>4000</v>
      </c>
      <c r="P146" s="140">
        <f t="shared" si="33"/>
        <v>0</v>
      </c>
    </row>
    <row r="147" spans="1:16" ht="16.8" customHeight="1" x14ac:dyDescent="0.25">
      <c r="A147" s="157"/>
      <c r="B147" s="172" t="s">
        <v>68</v>
      </c>
      <c r="C147" s="160">
        <f t="shared" ref="C147:P147" si="35">SUM(C148)</f>
        <v>0</v>
      </c>
      <c r="D147" s="130">
        <f t="shared" si="35"/>
        <v>0</v>
      </c>
      <c r="E147" s="160">
        <f t="shared" si="35"/>
        <v>0</v>
      </c>
      <c r="F147" s="217">
        <f t="shared" si="35"/>
        <v>0</v>
      </c>
      <c r="G147" s="224">
        <f t="shared" si="35"/>
        <v>0</v>
      </c>
      <c r="H147" s="130">
        <f t="shared" si="35"/>
        <v>0</v>
      </c>
      <c r="I147" s="160">
        <f t="shared" si="35"/>
        <v>0</v>
      </c>
      <c r="J147" s="130">
        <f t="shared" si="35"/>
        <v>0</v>
      </c>
      <c r="K147" s="160">
        <f t="shared" si="35"/>
        <v>0</v>
      </c>
      <c r="L147" s="130">
        <f t="shared" si="35"/>
        <v>0</v>
      </c>
      <c r="M147" s="160">
        <f t="shared" si="35"/>
        <v>45</v>
      </c>
      <c r="N147" s="130">
        <f t="shared" si="35"/>
        <v>0</v>
      </c>
      <c r="O147" s="160">
        <f t="shared" si="35"/>
        <v>45</v>
      </c>
      <c r="P147" s="217">
        <f t="shared" si="35"/>
        <v>0</v>
      </c>
    </row>
    <row r="148" spans="1:16" ht="27" customHeight="1" x14ac:dyDescent="0.25">
      <c r="A148" s="143" t="s">
        <v>63</v>
      </c>
      <c r="B148" s="166" t="s">
        <v>464</v>
      </c>
      <c r="C148" s="108"/>
      <c r="D148" s="122"/>
      <c r="E148" s="108"/>
      <c r="F148" s="140"/>
      <c r="G148" s="120"/>
      <c r="H148" s="207"/>
      <c r="I148" s="108"/>
      <c r="J148" s="147"/>
      <c r="K148" s="108"/>
      <c r="L148" s="122"/>
      <c r="M148" s="139">
        <v>45</v>
      </c>
      <c r="N148" s="207"/>
      <c r="O148" s="108">
        <f t="shared" si="32"/>
        <v>45</v>
      </c>
      <c r="P148" s="140">
        <f t="shared" si="33"/>
        <v>0</v>
      </c>
    </row>
    <row r="149" spans="1:16" x14ac:dyDescent="0.25">
      <c r="A149" s="191"/>
      <c r="B149" s="174" t="s">
        <v>98</v>
      </c>
      <c r="C149" s="106">
        <f t="shared" ref="C149:P149" si="36">SUM(C150)</f>
        <v>0</v>
      </c>
      <c r="D149" s="131">
        <f t="shared" si="36"/>
        <v>0</v>
      </c>
      <c r="E149" s="106">
        <f t="shared" si="36"/>
        <v>0</v>
      </c>
      <c r="F149" s="131">
        <f t="shared" si="36"/>
        <v>0</v>
      </c>
      <c r="G149" s="130">
        <f t="shared" si="36"/>
        <v>118877.68</v>
      </c>
      <c r="H149" s="131">
        <f t="shared" si="36"/>
        <v>0</v>
      </c>
      <c r="I149" s="106">
        <f t="shared" si="36"/>
        <v>0</v>
      </c>
      <c r="J149" s="131">
        <f t="shared" si="36"/>
        <v>0</v>
      </c>
      <c r="K149" s="106">
        <f t="shared" si="36"/>
        <v>53600</v>
      </c>
      <c r="L149" s="131">
        <f t="shared" si="36"/>
        <v>0</v>
      </c>
      <c r="M149" s="106">
        <f t="shared" si="36"/>
        <v>0</v>
      </c>
      <c r="N149" s="131">
        <f t="shared" si="36"/>
        <v>0</v>
      </c>
      <c r="O149" s="106">
        <f t="shared" si="36"/>
        <v>172477.68</v>
      </c>
      <c r="P149" s="131">
        <f t="shared" si="36"/>
        <v>0</v>
      </c>
    </row>
    <row r="150" spans="1:16" ht="28.8" customHeight="1" thickBot="1" x14ac:dyDescent="0.3">
      <c r="A150" s="157" t="s">
        <v>65</v>
      </c>
      <c r="B150" s="205" t="s">
        <v>514</v>
      </c>
      <c r="C150" s="108"/>
      <c r="D150" s="122"/>
      <c r="E150" s="108"/>
      <c r="F150" s="140"/>
      <c r="G150" s="139">
        <v>118877.68</v>
      </c>
      <c r="H150" s="207"/>
      <c r="I150" s="108"/>
      <c r="J150" s="147"/>
      <c r="K150" s="108">
        <v>53600</v>
      </c>
      <c r="L150" s="122"/>
      <c r="M150" s="139"/>
      <c r="N150" s="207"/>
      <c r="O150" s="108">
        <f t="shared" si="32"/>
        <v>172477.68</v>
      </c>
      <c r="P150" s="140">
        <f t="shared" si="33"/>
        <v>0</v>
      </c>
    </row>
    <row r="151" spans="1:16" ht="16.5" customHeight="1" thickBot="1" x14ac:dyDescent="0.3">
      <c r="A151" s="151"/>
      <c r="B151" s="152" t="s">
        <v>160</v>
      </c>
      <c r="C151" s="113">
        <f t="shared" ref="C151:P151" si="37">SUM(C34,C36,C69,C76,C83,C90,C97,C105,C114,C122,C127,C134,C140,C147,C149)</f>
        <v>4171300</v>
      </c>
      <c r="D151" s="137">
        <f t="shared" si="37"/>
        <v>898548.23</v>
      </c>
      <c r="E151" s="113">
        <f t="shared" si="37"/>
        <v>145000</v>
      </c>
      <c r="F151" s="137">
        <f t="shared" si="37"/>
        <v>22500</v>
      </c>
      <c r="G151" s="113">
        <f t="shared" si="37"/>
        <v>412524.43</v>
      </c>
      <c r="H151" s="137">
        <f t="shared" si="37"/>
        <v>2173.0700000000002</v>
      </c>
      <c r="I151" s="113">
        <f t="shared" si="37"/>
        <v>56900</v>
      </c>
      <c r="J151" s="137">
        <f t="shared" si="37"/>
        <v>0</v>
      </c>
      <c r="K151" s="113">
        <f t="shared" si="37"/>
        <v>3823215.83</v>
      </c>
      <c r="L151" s="137">
        <f t="shared" si="37"/>
        <v>0</v>
      </c>
      <c r="M151" s="113">
        <f t="shared" si="37"/>
        <v>287609.71999999997</v>
      </c>
      <c r="N151" s="137">
        <f t="shared" si="37"/>
        <v>150.30000000000001</v>
      </c>
      <c r="O151" s="113">
        <f t="shared" si="37"/>
        <v>8896549.9800000023</v>
      </c>
      <c r="P151" s="227">
        <f t="shared" si="37"/>
        <v>923371.6</v>
      </c>
    </row>
    <row r="152" spans="1:16" ht="15.75" customHeight="1" thickBot="1" x14ac:dyDescent="0.3">
      <c r="A152" s="328" t="s">
        <v>162</v>
      </c>
      <c r="B152" s="329"/>
      <c r="C152" s="329"/>
      <c r="D152" s="329"/>
      <c r="E152" s="329"/>
      <c r="F152" s="329"/>
      <c r="G152" s="329"/>
      <c r="H152" s="329"/>
      <c r="I152" s="329"/>
      <c r="J152" s="329"/>
      <c r="K152" s="329"/>
      <c r="L152" s="329"/>
      <c r="M152" s="329"/>
      <c r="N152" s="329"/>
      <c r="O152" s="329"/>
      <c r="P152" s="330"/>
    </row>
    <row r="153" spans="1:16" x14ac:dyDescent="0.25">
      <c r="A153" s="143"/>
      <c r="B153" s="144" t="s">
        <v>125</v>
      </c>
      <c r="C153" s="106">
        <f t="shared" ref="C153:P153" si="38">SUM(C154:C162)</f>
        <v>572300</v>
      </c>
      <c r="D153" s="107">
        <f t="shared" si="38"/>
        <v>0</v>
      </c>
      <c r="E153" s="123">
        <f t="shared" si="38"/>
        <v>0</v>
      </c>
      <c r="F153" s="156">
        <f t="shared" si="38"/>
        <v>0</v>
      </c>
      <c r="G153" s="123">
        <f t="shared" si="38"/>
        <v>0</v>
      </c>
      <c r="H153" s="130">
        <f t="shared" si="38"/>
        <v>0</v>
      </c>
      <c r="I153" s="106">
        <f t="shared" si="38"/>
        <v>0</v>
      </c>
      <c r="J153" s="107">
        <f t="shared" si="38"/>
        <v>0</v>
      </c>
      <c r="K153" s="123">
        <f t="shared" si="38"/>
        <v>0</v>
      </c>
      <c r="L153" s="156">
        <f t="shared" si="38"/>
        <v>0</v>
      </c>
      <c r="M153" s="123">
        <f t="shared" si="38"/>
        <v>0</v>
      </c>
      <c r="N153" s="130">
        <f t="shared" si="38"/>
        <v>0</v>
      </c>
      <c r="O153" s="123">
        <f t="shared" si="38"/>
        <v>572300</v>
      </c>
      <c r="P153" s="156">
        <f t="shared" si="38"/>
        <v>0</v>
      </c>
    </row>
    <row r="154" spans="1:16" ht="18" customHeight="1" x14ac:dyDescent="0.25">
      <c r="A154" s="145" t="s">
        <v>58</v>
      </c>
      <c r="B154" s="175" t="s">
        <v>278</v>
      </c>
      <c r="C154" s="108">
        <v>8000</v>
      </c>
      <c r="D154" s="109"/>
      <c r="E154" s="108"/>
      <c r="F154" s="122"/>
      <c r="G154" s="108"/>
      <c r="H154" s="207"/>
      <c r="I154" s="108"/>
      <c r="J154" s="109"/>
      <c r="K154" s="108"/>
      <c r="L154" s="122"/>
      <c r="M154" s="108"/>
      <c r="N154" s="207"/>
      <c r="O154" s="108">
        <f t="shared" ref="O154:P155" si="39">SUM(C154,E154,G154,I154,K154,M154)</f>
        <v>8000</v>
      </c>
      <c r="P154" s="140">
        <f t="shared" si="39"/>
        <v>0</v>
      </c>
    </row>
    <row r="155" spans="1:16" ht="18" customHeight="1" x14ac:dyDescent="0.25">
      <c r="A155" s="145" t="s">
        <v>60</v>
      </c>
      <c r="B155" s="175" t="s">
        <v>510</v>
      </c>
      <c r="C155" s="108">
        <v>17200</v>
      </c>
      <c r="D155" s="109"/>
      <c r="E155" s="108"/>
      <c r="F155" s="122"/>
      <c r="G155" s="108"/>
      <c r="H155" s="207"/>
      <c r="I155" s="108"/>
      <c r="J155" s="109"/>
      <c r="K155" s="108"/>
      <c r="L155" s="122"/>
      <c r="M155" s="108"/>
      <c r="N155" s="207"/>
      <c r="O155" s="108">
        <f t="shared" si="39"/>
        <v>17200</v>
      </c>
      <c r="P155" s="140"/>
    </row>
    <row r="156" spans="1:16" ht="26.25" customHeight="1" x14ac:dyDescent="0.25">
      <c r="A156" s="145" t="s">
        <v>63</v>
      </c>
      <c r="B156" s="146" t="s">
        <v>165</v>
      </c>
      <c r="C156" s="108">
        <v>70000</v>
      </c>
      <c r="D156" s="109"/>
      <c r="E156" s="108"/>
      <c r="F156" s="122"/>
      <c r="G156" s="108"/>
      <c r="H156" s="207"/>
      <c r="I156" s="108"/>
      <c r="J156" s="109"/>
      <c r="K156" s="108"/>
      <c r="L156" s="122"/>
      <c r="M156" s="108"/>
      <c r="N156" s="207"/>
      <c r="O156" s="108">
        <f t="shared" ref="O156:O162" si="40">SUM(C156,E156,G156,I156,K156,M156)</f>
        <v>70000</v>
      </c>
      <c r="P156" s="140">
        <f t="shared" ref="P156:P162" si="41">SUM(D156,F156,H156,J156,L156,N156)</f>
        <v>0</v>
      </c>
    </row>
    <row r="157" spans="1:16" ht="15.75" customHeight="1" x14ac:dyDescent="0.25">
      <c r="A157" s="148" t="s">
        <v>63</v>
      </c>
      <c r="B157" s="146" t="s">
        <v>166</v>
      </c>
      <c r="C157" s="108">
        <v>17900</v>
      </c>
      <c r="D157" s="109"/>
      <c r="E157" s="108"/>
      <c r="F157" s="122"/>
      <c r="G157" s="108"/>
      <c r="H157" s="207"/>
      <c r="I157" s="108"/>
      <c r="J157" s="109"/>
      <c r="K157" s="108"/>
      <c r="L157" s="122"/>
      <c r="M157" s="108"/>
      <c r="N157" s="207"/>
      <c r="O157" s="108">
        <f t="shared" si="40"/>
        <v>17900</v>
      </c>
      <c r="P157" s="140">
        <f t="shared" si="41"/>
        <v>0</v>
      </c>
    </row>
    <row r="158" spans="1:16" ht="13.5" customHeight="1" x14ac:dyDescent="0.25">
      <c r="A158" s="148" t="s">
        <v>63</v>
      </c>
      <c r="B158" s="146" t="s">
        <v>167</v>
      </c>
      <c r="C158" s="108">
        <v>100000</v>
      </c>
      <c r="D158" s="109"/>
      <c r="E158" s="108"/>
      <c r="F158" s="122"/>
      <c r="G158" s="108"/>
      <c r="H158" s="207"/>
      <c r="I158" s="108"/>
      <c r="J158" s="109"/>
      <c r="K158" s="108"/>
      <c r="L158" s="122"/>
      <c r="M158" s="108"/>
      <c r="N158" s="207"/>
      <c r="O158" s="108">
        <f t="shared" si="40"/>
        <v>100000</v>
      </c>
      <c r="P158" s="140">
        <f t="shared" si="41"/>
        <v>0</v>
      </c>
    </row>
    <row r="159" spans="1:16" ht="13.5" customHeight="1" x14ac:dyDescent="0.25">
      <c r="A159" s="148" t="s">
        <v>63</v>
      </c>
      <c r="B159" s="146" t="s">
        <v>511</v>
      </c>
      <c r="C159" s="108">
        <v>20000</v>
      </c>
      <c r="D159" s="109"/>
      <c r="E159" s="108"/>
      <c r="F159" s="122"/>
      <c r="G159" s="108"/>
      <c r="H159" s="207"/>
      <c r="I159" s="108"/>
      <c r="J159" s="109"/>
      <c r="K159" s="108"/>
      <c r="L159" s="122"/>
      <c r="M159" s="108"/>
      <c r="N159" s="207"/>
      <c r="O159" s="108">
        <f t="shared" si="40"/>
        <v>20000</v>
      </c>
      <c r="P159" s="140"/>
    </row>
    <row r="160" spans="1:16" ht="14.25" customHeight="1" x14ac:dyDescent="0.25">
      <c r="A160" s="148" t="s">
        <v>63</v>
      </c>
      <c r="B160" s="146" t="s">
        <v>168</v>
      </c>
      <c r="C160" s="108">
        <v>5500</v>
      </c>
      <c r="D160" s="109"/>
      <c r="E160" s="108"/>
      <c r="F160" s="122"/>
      <c r="G160" s="108"/>
      <c r="H160" s="207"/>
      <c r="I160" s="108"/>
      <c r="J160" s="109"/>
      <c r="K160" s="108"/>
      <c r="L160" s="122"/>
      <c r="M160" s="108"/>
      <c r="N160" s="207"/>
      <c r="O160" s="108">
        <f t="shared" si="40"/>
        <v>5500</v>
      </c>
      <c r="P160" s="140">
        <f t="shared" si="41"/>
        <v>0</v>
      </c>
    </row>
    <row r="161" spans="1:16" ht="22.8" customHeight="1" x14ac:dyDescent="0.25">
      <c r="A161" s="148" t="s">
        <v>63</v>
      </c>
      <c r="B161" s="146" t="s">
        <v>512</v>
      </c>
      <c r="C161" s="108">
        <v>320000</v>
      </c>
      <c r="D161" s="109"/>
      <c r="E161" s="108"/>
      <c r="F161" s="122"/>
      <c r="G161" s="108"/>
      <c r="H161" s="207"/>
      <c r="I161" s="108"/>
      <c r="J161" s="109"/>
      <c r="K161" s="108"/>
      <c r="L161" s="122"/>
      <c r="M161" s="108"/>
      <c r="N161" s="207"/>
      <c r="O161" s="108">
        <f t="shared" ref="O161" si="42">SUM(C161,E161,G161,I161,K161,M161)</f>
        <v>320000</v>
      </c>
      <c r="P161" s="140">
        <f t="shared" ref="P161" si="43">SUM(D161,F161,H161,J161,L161,N161)</f>
        <v>0</v>
      </c>
    </row>
    <row r="162" spans="1:16" x14ac:dyDescent="0.25">
      <c r="A162" s="150" t="s">
        <v>65</v>
      </c>
      <c r="B162" s="176" t="s">
        <v>270</v>
      </c>
      <c r="C162" s="108">
        <v>13700</v>
      </c>
      <c r="D162" s="109"/>
      <c r="E162" s="108"/>
      <c r="F162" s="122"/>
      <c r="G162" s="108"/>
      <c r="H162" s="207"/>
      <c r="I162" s="108"/>
      <c r="J162" s="109"/>
      <c r="K162" s="108"/>
      <c r="L162" s="122"/>
      <c r="M162" s="108"/>
      <c r="N162" s="207"/>
      <c r="O162" s="108">
        <f t="shared" si="40"/>
        <v>13700</v>
      </c>
      <c r="P162" s="140">
        <f t="shared" si="41"/>
        <v>0</v>
      </c>
    </row>
    <row r="163" spans="1:16" x14ac:dyDescent="0.25">
      <c r="A163" s="157"/>
      <c r="B163" s="177" t="s">
        <v>423</v>
      </c>
      <c r="C163" s="106">
        <f t="shared" ref="C163:P163" si="44">SUM(C164:C164)</f>
        <v>670400</v>
      </c>
      <c r="D163" s="110">
        <f t="shared" si="44"/>
        <v>564000</v>
      </c>
      <c r="E163" s="106">
        <f t="shared" si="44"/>
        <v>0</v>
      </c>
      <c r="F163" s="131">
        <f t="shared" si="44"/>
        <v>0</v>
      </c>
      <c r="G163" s="106">
        <f t="shared" si="44"/>
        <v>0</v>
      </c>
      <c r="H163" s="224">
        <f t="shared" si="44"/>
        <v>0</v>
      </c>
      <c r="I163" s="106">
        <f t="shared" si="44"/>
        <v>21000</v>
      </c>
      <c r="J163" s="110">
        <f t="shared" si="44"/>
        <v>0</v>
      </c>
      <c r="K163" s="106">
        <f t="shared" si="44"/>
        <v>0</v>
      </c>
      <c r="L163" s="131">
        <f t="shared" si="44"/>
        <v>0</v>
      </c>
      <c r="M163" s="106">
        <f t="shared" si="44"/>
        <v>0</v>
      </c>
      <c r="N163" s="224">
        <f t="shared" si="44"/>
        <v>0</v>
      </c>
      <c r="O163" s="106">
        <f t="shared" si="44"/>
        <v>691400</v>
      </c>
      <c r="P163" s="131">
        <f t="shared" si="44"/>
        <v>564000</v>
      </c>
    </row>
    <row r="164" spans="1:16" x14ac:dyDescent="0.25">
      <c r="A164" s="143" t="s">
        <v>63</v>
      </c>
      <c r="B164" s="163" t="s">
        <v>170</v>
      </c>
      <c r="C164" s="108">
        <f>581400+59000+30000</f>
        <v>670400</v>
      </c>
      <c r="D164" s="109">
        <v>564000</v>
      </c>
      <c r="E164" s="108"/>
      <c r="F164" s="122"/>
      <c r="G164" s="108"/>
      <c r="H164" s="207"/>
      <c r="I164" s="108">
        <v>21000</v>
      </c>
      <c r="J164" s="109"/>
      <c r="K164" s="106"/>
      <c r="L164" s="122"/>
      <c r="M164" s="108"/>
      <c r="N164" s="207"/>
      <c r="O164" s="108">
        <f>SUM(C164,E164,G164,I164,K164,M164)</f>
        <v>691400</v>
      </c>
      <c r="P164" s="140">
        <f>SUM(D164,F164,H164,J164,L164,N164)</f>
        <v>564000</v>
      </c>
    </row>
    <row r="165" spans="1:16" x14ac:dyDescent="0.25">
      <c r="A165" s="143"/>
      <c r="B165" s="172" t="s">
        <v>362</v>
      </c>
      <c r="C165" s="106">
        <f t="shared" ref="C165:P165" si="45">SUM(C166:C166)</f>
        <v>382000</v>
      </c>
      <c r="D165" s="110">
        <f t="shared" si="45"/>
        <v>285000</v>
      </c>
      <c r="E165" s="106">
        <f t="shared" si="45"/>
        <v>0</v>
      </c>
      <c r="F165" s="131">
        <f t="shared" si="45"/>
        <v>0</v>
      </c>
      <c r="G165" s="106">
        <f t="shared" si="45"/>
        <v>0</v>
      </c>
      <c r="H165" s="224">
        <f t="shared" si="45"/>
        <v>0</v>
      </c>
      <c r="I165" s="106">
        <f t="shared" si="45"/>
        <v>4000</v>
      </c>
      <c r="J165" s="110">
        <f t="shared" si="45"/>
        <v>0</v>
      </c>
      <c r="K165" s="106">
        <f t="shared" si="45"/>
        <v>0</v>
      </c>
      <c r="L165" s="131">
        <f t="shared" si="45"/>
        <v>0</v>
      </c>
      <c r="M165" s="106">
        <f t="shared" si="45"/>
        <v>0</v>
      </c>
      <c r="N165" s="224">
        <f t="shared" si="45"/>
        <v>0</v>
      </c>
      <c r="O165" s="106">
        <f t="shared" si="45"/>
        <v>386000</v>
      </c>
      <c r="P165" s="131">
        <f t="shared" si="45"/>
        <v>285000</v>
      </c>
    </row>
    <row r="166" spans="1:16" x14ac:dyDescent="0.25">
      <c r="A166" s="143" t="s">
        <v>63</v>
      </c>
      <c r="B166" s="163" t="s">
        <v>170</v>
      </c>
      <c r="C166" s="108">
        <f>352500+29500</f>
        <v>382000</v>
      </c>
      <c r="D166" s="109">
        <v>285000</v>
      </c>
      <c r="E166" s="108"/>
      <c r="F166" s="122"/>
      <c r="G166" s="108"/>
      <c r="H166" s="207"/>
      <c r="I166" s="108">
        <v>4000</v>
      </c>
      <c r="J166" s="109"/>
      <c r="K166" s="106"/>
      <c r="L166" s="122"/>
      <c r="M166" s="108"/>
      <c r="N166" s="207"/>
      <c r="O166" s="108">
        <f>SUM(C166,E166,G166,I166,K166,M166)</f>
        <v>386000</v>
      </c>
      <c r="P166" s="140">
        <f>SUM(D166,F166,H166,J166,L166,N166)</f>
        <v>285000</v>
      </c>
    </row>
    <row r="167" spans="1:16" x14ac:dyDescent="0.25">
      <c r="A167" s="143"/>
      <c r="B167" s="177" t="s">
        <v>169</v>
      </c>
      <c r="C167" s="106">
        <f t="shared" ref="C167:P167" si="46">SUM(C168:C168)</f>
        <v>279800</v>
      </c>
      <c r="D167" s="110">
        <f t="shared" si="46"/>
        <v>217100</v>
      </c>
      <c r="E167" s="106">
        <f t="shared" si="46"/>
        <v>0</v>
      </c>
      <c r="F167" s="131">
        <f t="shared" si="46"/>
        <v>0</v>
      </c>
      <c r="G167" s="106">
        <f t="shared" si="46"/>
        <v>0</v>
      </c>
      <c r="H167" s="224">
        <f t="shared" si="46"/>
        <v>0</v>
      </c>
      <c r="I167" s="106">
        <f t="shared" si="46"/>
        <v>3000</v>
      </c>
      <c r="J167" s="110">
        <f t="shared" si="46"/>
        <v>0</v>
      </c>
      <c r="K167" s="106">
        <f t="shared" si="46"/>
        <v>0</v>
      </c>
      <c r="L167" s="131">
        <f t="shared" si="46"/>
        <v>0</v>
      </c>
      <c r="M167" s="106">
        <f t="shared" si="46"/>
        <v>0</v>
      </c>
      <c r="N167" s="224">
        <f t="shared" si="46"/>
        <v>0</v>
      </c>
      <c r="O167" s="106">
        <f t="shared" si="46"/>
        <v>282800</v>
      </c>
      <c r="P167" s="131">
        <f t="shared" si="46"/>
        <v>217100</v>
      </c>
    </row>
    <row r="168" spans="1:16" x14ac:dyDescent="0.25">
      <c r="A168" s="143" t="s">
        <v>63</v>
      </c>
      <c r="B168" s="163" t="s">
        <v>170</v>
      </c>
      <c r="C168" s="108">
        <f>246300+28500+5000</f>
        <v>279800</v>
      </c>
      <c r="D168" s="109">
        <v>217100</v>
      </c>
      <c r="E168" s="108"/>
      <c r="F168" s="122"/>
      <c r="G168" s="108"/>
      <c r="H168" s="207"/>
      <c r="I168" s="108">
        <v>3000</v>
      </c>
      <c r="J168" s="109"/>
      <c r="K168" s="106"/>
      <c r="L168" s="122"/>
      <c r="M168" s="108"/>
      <c r="N168" s="207"/>
      <c r="O168" s="108">
        <f t="shared" ref="O168:P168" si="47">SUM(C168,E168,G168,I168,K168,M168)</f>
        <v>282800</v>
      </c>
      <c r="P168" s="140">
        <f t="shared" si="47"/>
        <v>217100</v>
      </c>
    </row>
    <row r="169" spans="1:16" x14ac:dyDescent="0.25">
      <c r="A169" s="143"/>
      <c r="B169" s="177" t="s">
        <v>36</v>
      </c>
      <c r="C169" s="106">
        <f t="shared" ref="C169:P169" si="48">SUM(C170:C170)</f>
        <v>235800</v>
      </c>
      <c r="D169" s="110">
        <f t="shared" si="48"/>
        <v>195000</v>
      </c>
      <c r="E169" s="106">
        <f t="shared" si="48"/>
        <v>0</v>
      </c>
      <c r="F169" s="131">
        <f t="shared" si="48"/>
        <v>0</v>
      </c>
      <c r="G169" s="106">
        <f t="shared" si="48"/>
        <v>0</v>
      </c>
      <c r="H169" s="224">
        <f t="shared" si="48"/>
        <v>0</v>
      </c>
      <c r="I169" s="106">
        <f t="shared" si="48"/>
        <v>1200</v>
      </c>
      <c r="J169" s="110">
        <f t="shared" si="48"/>
        <v>0</v>
      </c>
      <c r="K169" s="106">
        <f t="shared" si="48"/>
        <v>0</v>
      </c>
      <c r="L169" s="131">
        <f t="shared" si="48"/>
        <v>0</v>
      </c>
      <c r="M169" s="106">
        <f t="shared" si="48"/>
        <v>0</v>
      </c>
      <c r="N169" s="224">
        <f t="shared" si="48"/>
        <v>0</v>
      </c>
      <c r="O169" s="106">
        <f t="shared" si="48"/>
        <v>237000</v>
      </c>
      <c r="P169" s="131">
        <f t="shared" si="48"/>
        <v>195000</v>
      </c>
    </row>
    <row r="170" spans="1:16" x14ac:dyDescent="0.25">
      <c r="A170" s="143" t="s">
        <v>63</v>
      </c>
      <c r="B170" s="163" t="s">
        <v>170</v>
      </c>
      <c r="C170" s="108">
        <f>213300+22500</f>
        <v>235800</v>
      </c>
      <c r="D170" s="109">
        <v>195000</v>
      </c>
      <c r="E170" s="108"/>
      <c r="F170" s="122"/>
      <c r="G170" s="108"/>
      <c r="H170" s="207"/>
      <c r="I170" s="108">
        <v>1200</v>
      </c>
      <c r="J170" s="109"/>
      <c r="K170" s="106"/>
      <c r="L170" s="122"/>
      <c r="M170" s="108"/>
      <c r="N170" s="207"/>
      <c r="O170" s="108">
        <f t="shared" ref="O170:P170" si="49">SUM(C170,E170,G170,I170,K170,M170)</f>
        <v>237000</v>
      </c>
      <c r="P170" s="140">
        <f t="shared" si="49"/>
        <v>195000</v>
      </c>
    </row>
    <row r="171" spans="1:16" x14ac:dyDescent="0.25">
      <c r="A171" s="143"/>
      <c r="B171" s="177" t="s">
        <v>37</v>
      </c>
      <c r="C171" s="106">
        <f t="shared" ref="C171:P171" si="50">SUM(C172:C172)</f>
        <v>133900</v>
      </c>
      <c r="D171" s="110">
        <f t="shared" si="50"/>
        <v>110900</v>
      </c>
      <c r="E171" s="106">
        <f t="shared" si="50"/>
        <v>0</v>
      </c>
      <c r="F171" s="131">
        <f t="shared" si="50"/>
        <v>0</v>
      </c>
      <c r="G171" s="106">
        <f t="shared" si="50"/>
        <v>0</v>
      </c>
      <c r="H171" s="224">
        <f t="shared" si="50"/>
        <v>0</v>
      </c>
      <c r="I171" s="106">
        <f t="shared" si="50"/>
        <v>1600</v>
      </c>
      <c r="J171" s="110">
        <f t="shared" si="50"/>
        <v>0</v>
      </c>
      <c r="K171" s="106">
        <f t="shared" si="50"/>
        <v>0</v>
      </c>
      <c r="L171" s="131">
        <f t="shared" si="50"/>
        <v>0</v>
      </c>
      <c r="M171" s="106">
        <f t="shared" si="50"/>
        <v>0</v>
      </c>
      <c r="N171" s="224">
        <f t="shared" si="50"/>
        <v>0</v>
      </c>
      <c r="O171" s="106">
        <f t="shared" si="50"/>
        <v>135500</v>
      </c>
      <c r="P171" s="131">
        <f t="shared" si="50"/>
        <v>110900</v>
      </c>
    </row>
    <row r="172" spans="1:16" x14ac:dyDescent="0.25">
      <c r="A172" s="143" t="s">
        <v>63</v>
      </c>
      <c r="B172" s="163" t="s">
        <v>170</v>
      </c>
      <c r="C172" s="108">
        <f>119400+14500</f>
        <v>133900</v>
      </c>
      <c r="D172" s="109">
        <v>110900</v>
      </c>
      <c r="E172" s="108"/>
      <c r="F172" s="122"/>
      <c r="G172" s="108"/>
      <c r="H172" s="207"/>
      <c r="I172" s="108">
        <v>1600</v>
      </c>
      <c r="J172" s="109"/>
      <c r="K172" s="106"/>
      <c r="L172" s="122"/>
      <c r="M172" s="108"/>
      <c r="N172" s="207"/>
      <c r="O172" s="108">
        <f t="shared" ref="O172:P172" si="51">SUM(C172,E172,G172,I172,K172,M172)</f>
        <v>135500</v>
      </c>
      <c r="P172" s="140">
        <f t="shared" si="51"/>
        <v>110900</v>
      </c>
    </row>
    <row r="173" spans="1:16" x14ac:dyDescent="0.25">
      <c r="A173" s="143"/>
      <c r="B173" s="177" t="s">
        <v>319</v>
      </c>
      <c r="C173" s="106">
        <f t="shared" ref="C173:P173" si="52">SUM(C174:C174)</f>
        <v>154300</v>
      </c>
      <c r="D173" s="110">
        <f t="shared" si="52"/>
        <v>130200</v>
      </c>
      <c r="E173" s="106">
        <f t="shared" si="52"/>
        <v>0</v>
      </c>
      <c r="F173" s="131">
        <f t="shared" si="52"/>
        <v>0</v>
      </c>
      <c r="G173" s="106">
        <f t="shared" si="52"/>
        <v>0</v>
      </c>
      <c r="H173" s="224">
        <f t="shared" si="52"/>
        <v>0</v>
      </c>
      <c r="I173" s="106">
        <f t="shared" si="52"/>
        <v>1000</v>
      </c>
      <c r="J173" s="110">
        <f t="shared" si="52"/>
        <v>0</v>
      </c>
      <c r="K173" s="106">
        <f t="shared" si="52"/>
        <v>0</v>
      </c>
      <c r="L173" s="131">
        <f t="shared" si="52"/>
        <v>0</v>
      </c>
      <c r="M173" s="106">
        <f t="shared" si="52"/>
        <v>0</v>
      </c>
      <c r="N173" s="224">
        <f t="shared" si="52"/>
        <v>0</v>
      </c>
      <c r="O173" s="106">
        <f t="shared" si="52"/>
        <v>155300</v>
      </c>
      <c r="P173" s="131">
        <f t="shared" si="52"/>
        <v>130200</v>
      </c>
    </row>
    <row r="174" spans="1:16" x14ac:dyDescent="0.25">
      <c r="A174" s="143" t="s">
        <v>63</v>
      </c>
      <c r="B174" s="163" t="s">
        <v>170</v>
      </c>
      <c r="C174" s="108">
        <f>137800+16500</f>
        <v>154300</v>
      </c>
      <c r="D174" s="109">
        <v>130200</v>
      </c>
      <c r="E174" s="108"/>
      <c r="F174" s="122"/>
      <c r="G174" s="108"/>
      <c r="H174" s="207"/>
      <c r="I174" s="108">
        <v>1000</v>
      </c>
      <c r="J174" s="109"/>
      <c r="K174" s="106"/>
      <c r="L174" s="122"/>
      <c r="M174" s="108"/>
      <c r="N174" s="207"/>
      <c r="O174" s="108">
        <f t="shared" ref="O174:P174" si="53">SUM(C174,E174,G174,I174,K174,M174)</f>
        <v>155300</v>
      </c>
      <c r="P174" s="140">
        <f t="shared" si="53"/>
        <v>130200</v>
      </c>
    </row>
    <row r="175" spans="1:16" x14ac:dyDescent="0.25">
      <c r="A175" s="143"/>
      <c r="B175" s="177" t="s">
        <v>303</v>
      </c>
      <c r="C175" s="106">
        <f t="shared" ref="C175:P175" si="54">SUM(C176:C177)</f>
        <v>926100</v>
      </c>
      <c r="D175" s="110">
        <f t="shared" si="54"/>
        <v>818500</v>
      </c>
      <c r="E175" s="106">
        <f t="shared" si="54"/>
        <v>30228</v>
      </c>
      <c r="F175" s="131">
        <f t="shared" si="54"/>
        <v>0</v>
      </c>
      <c r="G175" s="106">
        <f t="shared" si="54"/>
        <v>0</v>
      </c>
      <c r="H175" s="224">
        <f t="shared" si="54"/>
        <v>0</v>
      </c>
      <c r="I175" s="106">
        <f t="shared" si="54"/>
        <v>1400</v>
      </c>
      <c r="J175" s="110">
        <f t="shared" si="54"/>
        <v>0</v>
      </c>
      <c r="K175" s="106">
        <f t="shared" si="54"/>
        <v>0</v>
      </c>
      <c r="L175" s="131">
        <f t="shared" si="54"/>
        <v>0</v>
      </c>
      <c r="M175" s="106">
        <f t="shared" si="54"/>
        <v>0</v>
      </c>
      <c r="N175" s="224">
        <f t="shared" si="54"/>
        <v>0</v>
      </c>
      <c r="O175" s="106">
        <f t="shared" si="54"/>
        <v>957728</v>
      </c>
      <c r="P175" s="131">
        <f t="shared" si="54"/>
        <v>818500</v>
      </c>
    </row>
    <row r="176" spans="1:16" x14ac:dyDescent="0.25">
      <c r="A176" s="143" t="s">
        <v>63</v>
      </c>
      <c r="B176" s="163" t="s">
        <v>170</v>
      </c>
      <c r="C176" s="108">
        <f>834100+92000</f>
        <v>926100</v>
      </c>
      <c r="D176" s="109">
        <v>818500</v>
      </c>
      <c r="E176" s="108"/>
      <c r="F176" s="122"/>
      <c r="G176" s="108"/>
      <c r="H176" s="207"/>
      <c r="I176" s="108">
        <v>1400</v>
      </c>
      <c r="J176" s="109"/>
      <c r="K176" s="106"/>
      <c r="L176" s="122"/>
      <c r="M176" s="108"/>
      <c r="N176" s="207"/>
      <c r="O176" s="108">
        <f t="shared" ref="O176:P177" si="55">SUM(C176,E176,G176,I176,K176,M176)</f>
        <v>927500</v>
      </c>
      <c r="P176" s="140">
        <f t="shared" si="55"/>
        <v>818500</v>
      </c>
    </row>
    <row r="177" spans="1:16" x14ac:dyDescent="0.25">
      <c r="A177" s="143" t="s">
        <v>63</v>
      </c>
      <c r="B177" s="163" t="s">
        <v>425</v>
      </c>
      <c r="C177" s="106"/>
      <c r="D177" s="109"/>
      <c r="E177" s="108">
        <v>30228</v>
      </c>
      <c r="F177" s="122"/>
      <c r="G177" s="108"/>
      <c r="H177" s="207"/>
      <c r="I177" s="108"/>
      <c r="J177" s="109"/>
      <c r="K177" s="106"/>
      <c r="L177" s="122"/>
      <c r="M177" s="108"/>
      <c r="N177" s="207"/>
      <c r="O177" s="108">
        <f t="shared" si="55"/>
        <v>30228</v>
      </c>
      <c r="P177" s="140">
        <f t="shared" si="55"/>
        <v>0</v>
      </c>
    </row>
    <row r="178" spans="1:16" x14ac:dyDescent="0.25">
      <c r="A178" s="157"/>
      <c r="B178" s="177" t="s">
        <v>33</v>
      </c>
      <c r="C178" s="106">
        <f t="shared" ref="C178:P178" si="56">SUM(C179:C180)</f>
        <v>271700</v>
      </c>
      <c r="D178" s="110">
        <f t="shared" si="56"/>
        <v>228000</v>
      </c>
      <c r="E178" s="106">
        <f t="shared" si="56"/>
        <v>0</v>
      </c>
      <c r="F178" s="131">
        <f t="shared" si="56"/>
        <v>0</v>
      </c>
      <c r="G178" s="106">
        <f t="shared" si="56"/>
        <v>0</v>
      </c>
      <c r="H178" s="224">
        <f t="shared" si="56"/>
        <v>0</v>
      </c>
      <c r="I178" s="106">
        <f t="shared" si="56"/>
        <v>11000</v>
      </c>
      <c r="J178" s="110">
        <f t="shared" si="56"/>
        <v>5500</v>
      </c>
      <c r="K178" s="106">
        <f t="shared" si="56"/>
        <v>100000</v>
      </c>
      <c r="L178" s="131">
        <f t="shared" si="56"/>
        <v>0</v>
      </c>
      <c r="M178" s="106">
        <f t="shared" si="56"/>
        <v>0</v>
      </c>
      <c r="N178" s="224">
        <f t="shared" si="56"/>
        <v>0</v>
      </c>
      <c r="O178" s="106">
        <f t="shared" si="56"/>
        <v>382700</v>
      </c>
      <c r="P178" s="131">
        <f t="shared" si="56"/>
        <v>233500</v>
      </c>
    </row>
    <row r="179" spans="1:16" x14ac:dyDescent="0.25">
      <c r="A179" s="143" t="s">
        <v>63</v>
      </c>
      <c r="B179" s="163" t="s">
        <v>170</v>
      </c>
      <c r="C179" s="108">
        <f>246700+25000</f>
        <v>271700</v>
      </c>
      <c r="D179" s="109">
        <v>228000</v>
      </c>
      <c r="E179" s="108"/>
      <c r="F179" s="122"/>
      <c r="G179" s="108"/>
      <c r="H179" s="207"/>
      <c r="I179" s="108">
        <v>11000</v>
      </c>
      <c r="J179" s="109">
        <v>5500</v>
      </c>
      <c r="K179" s="106"/>
      <c r="L179" s="122"/>
      <c r="M179" s="108"/>
      <c r="N179" s="207"/>
      <c r="O179" s="108">
        <f t="shared" ref="O179:P180" si="57">SUM(C179,E179,G179,I179,K179,M179)</f>
        <v>282700</v>
      </c>
      <c r="P179" s="140">
        <f t="shared" si="57"/>
        <v>233500</v>
      </c>
    </row>
    <row r="180" spans="1:16" ht="27" customHeight="1" x14ac:dyDescent="0.25">
      <c r="A180" s="143" t="s">
        <v>63</v>
      </c>
      <c r="B180" s="168" t="s">
        <v>496</v>
      </c>
      <c r="C180" s="106"/>
      <c r="D180" s="109"/>
      <c r="E180" s="108"/>
      <c r="F180" s="122"/>
      <c r="G180" s="108"/>
      <c r="H180" s="207"/>
      <c r="I180" s="108"/>
      <c r="J180" s="109"/>
      <c r="K180" s="108">
        <v>100000</v>
      </c>
      <c r="L180" s="122"/>
      <c r="M180" s="108"/>
      <c r="N180" s="207"/>
      <c r="O180" s="108">
        <f t="shared" si="57"/>
        <v>100000</v>
      </c>
      <c r="P180" s="140">
        <f t="shared" si="57"/>
        <v>0</v>
      </c>
    </row>
    <row r="181" spans="1:16" x14ac:dyDescent="0.25">
      <c r="A181" s="143"/>
      <c r="B181" s="177" t="s">
        <v>34</v>
      </c>
      <c r="C181" s="106">
        <f t="shared" ref="C181:P181" si="58">SUM(C182:C182)</f>
        <v>197700</v>
      </c>
      <c r="D181" s="110">
        <f t="shared" si="58"/>
        <v>193000</v>
      </c>
      <c r="E181" s="106">
        <f t="shared" si="58"/>
        <v>0</v>
      </c>
      <c r="F181" s="131">
        <f t="shared" si="58"/>
        <v>0</v>
      </c>
      <c r="G181" s="106">
        <f t="shared" si="58"/>
        <v>0</v>
      </c>
      <c r="H181" s="224">
        <f t="shared" si="58"/>
        <v>0</v>
      </c>
      <c r="I181" s="106">
        <f t="shared" si="58"/>
        <v>15000</v>
      </c>
      <c r="J181" s="110">
        <f t="shared" si="58"/>
        <v>0</v>
      </c>
      <c r="K181" s="106">
        <f t="shared" si="58"/>
        <v>0</v>
      </c>
      <c r="L181" s="131">
        <f t="shared" si="58"/>
        <v>0</v>
      </c>
      <c r="M181" s="106">
        <f t="shared" si="58"/>
        <v>647.05999999999995</v>
      </c>
      <c r="N181" s="224">
        <f t="shared" si="58"/>
        <v>0</v>
      </c>
      <c r="O181" s="106">
        <f t="shared" si="58"/>
        <v>213347.06</v>
      </c>
      <c r="P181" s="131">
        <f t="shared" si="58"/>
        <v>193000</v>
      </c>
    </row>
    <row r="182" spans="1:16" x14ac:dyDescent="0.25">
      <c r="A182" s="143" t="s">
        <v>63</v>
      </c>
      <c r="B182" s="163" t="s">
        <v>170</v>
      </c>
      <c r="C182" s="108">
        <f>175200+22500</f>
        <v>197700</v>
      </c>
      <c r="D182" s="109">
        <v>193000</v>
      </c>
      <c r="E182" s="108"/>
      <c r="F182" s="122"/>
      <c r="G182" s="108"/>
      <c r="H182" s="207"/>
      <c r="I182" s="108">
        <v>15000</v>
      </c>
      <c r="J182" s="109"/>
      <c r="K182" s="106"/>
      <c r="L182" s="122"/>
      <c r="M182" s="108">
        <v>647.05999999999995</v>
      </c>
      <c r="N182" s="207"/>
      <c r="O182" s="108">
        <f t="shared" ref="O182:O193" si="59">SUM(C182,E182,G182,I182,K182,M182)</f>
        <v>213347.06</v>
      </c>
      <c r="P182" s="140">
        <f t="shared" ref="P182:P193" si="60">SUM(D182,F182,H182,J182,L182,N182)</f>
        <v>193000</v>
      </c>
    </row>
    <row r="183" spans="1:16" x14ac:dyDescent="0.25">
      <c r="A183" s="143" t="s">
        <v>63</v>
      </c>
      <c r="B183" s="177" t="s">
        <v>55</v>
      </c>
      <c r="C183" s="106">
        <v>2000</v>
      </c>
      <c r="D183" s="110"/>
      <c r="E183" s="106"/>
      <c r="F183" s="131"/>
      <c r="G183" s="106"/>
      <c r="H183" s="208"/>
      <c r="I183" s="106"/>
      <c r="J183" s="110"/>
      <c r="K183" s="106"/>
      <c r="L183" s="131"/>
      <c r="M183" s="106"/>
      <c r="N183" s="208"/>
      <c r="O183" s="108">
        <f t="shared" si="59"/>
        <v>2000</v>
      </c>
      <c r="P183" s="140">
        <f t="shared" si="60"/>
        <v>0</v>
      </c>
    </row>
    <row r="184" spans="1:16" x14ac:dyDescent="0.25">
      <c r="A184" s="143" t="s">
        <v>63</v>
      </c>
      <c r="B184" s="177" t="s">
        <v>41</v>
      </c>
      <c r="C184" s="106">
        <v>900</v>
      </c>
      <c r="D184" s="110"/>
      <c r="E184" s="106"/>
      <c r="F184" s="131"/>
      <c r="G184" s="106"/>
      <c r="H184" s="208"/>
      <c r="I184" s="106"/>
      <c r="J184" s="110"/>
      <c r="K184" s="106"/>
      <c r="L184" s="131"/>
      <c r="M184" s="106"/>
      <c r="N184" s="208"/>
      <c r="O184" s="108">
        <f t="shared" si="59"/>
        <v>900</v>
      </c>
      <c r="P184" s="140">
        <f t="shared" si="60"/>
        <v>0</v>
      </c>
    </row>
    <row r="185" spans="1:16" x14ac:dyDescent="0.25">
      <c r="A185" s="143" t="s">
        <v>63</v>
      </c>
      <c r="B185" s="177" t="s">
        <v>29</v>
      </c>
      <c r="C185" s="106">
        <v>8000</v>
      </c>
      <c r="D185" s="110"/>
      <c r="E185" s="106"/>
      <c r="F185" s="131"/>
      <c r="G185" s="106"/>
      <c r="H185" s="208"/>
      <c r="I185" s="106"/>
      <c r="J185" s="110"/>
      <c r="K185" s="106"/>
      <c r="L185" s="131"/>
      <c r="M185" s="106"/>
      <c r="N185" s="208"/>
      <c r="O185" s="108">
        <f t="shared" si="59"/>
        <v>8000</v>
      </c>
      <c r="P185" s="140">
        <f t="shared" si="60"/>
        <v>0</v>
      </c>
    </row>
    <row r="186" spans="1:16" x14ac:dyDescent="0.25">
      <c r="A186" s="143" t="s">
        <v>63</v>
      </c>
      <c r="B186" s="177" t="s">
        <v>30</v>
      </c>
      <c r="C186" s="106">
        <v>2000</v>
      </c>
      <c r="D186" s="110"/>
      <c r="E186" s="106"/>
      <c r="F186" s="131"/>
      <c r="G186" s="106"/>
      <c r="H186" s="208"/>
      <c r="I186" s="106"/>
      <c r="J186" s="110"/>
      <c r="K186" s="106"/>
      <c r="L186" s="131"/>
      <c r="M186" s="106"/>
      <c r="N186" s="208"/>
      <c r="O186" s="108">
        <f t="shared" si="59"/>
        <v>2000</v>
      </c>
      <c r="P186" s="140">
        <f t="shared" si="60"/>
        <v>0</v>
      </c>
    </row>
    <row r="187" spans="1:16" x14ac:dyDescent="0.25">
      <c r="A187" s="143" t="s">
        <v>63</v>
      </c>
      <c r="B187" s="177" t="s">
        <v>31</v>
      </c>
      <c r="C187" s="106">
        <v>5000</v>
      </c>
      <c r="D187" s="110"/>
      <c r="E187" s="106"/>
      <c r="F187" s="131"/>
      <c r="G187" s="106"/>
      <c r="H187" s="208"/>
      <c r="I187" s="106"/>
      <c r="J187" s="110"/>
      <c r="K187" s="106"/>
      <c r="L187" s="131"/>
      <c r="M187" s="106"/>
      <c r="N187" s="208"/>
      <c r="O187" s="108">
        <f t="shared" si="59"/>
        <v>5000</v>
      </c>
      <c r="P187" s="140">
        <f t="shared" si="60"/>
        <v>0</v>
      </c>
    </row>
    <row r="188" spans="1:16" x14ac:dyDescent="0.25">
      <c r="A188" s="143" t="s">
        <v>63</v>
      </c>
      <c r="B188" s="177" t="s">
        <v>42</v>
      </c>
      <c r="C188" s="106">
        <v>700</v>
      </c>
      <c r="D188" s="110"/>
      <c r="E188" s="106"/>
      <c r="F188" s="131"/>
      <c r="G188" s="106"/>
      <c r="H188" s="208"/>
      <c r="I188" s="106"/>
      <c r="J188" s="110"/>
      <c r="K188" s="106"/>
      <c r="L188" s="131"/>
      <c r="M188" s="106"/>
      <c r="N188" s="208"/>
      <c r="O188" s="108">
        <f t="shared" si="59"/>
        <v>700</v>
      </c>
      <c r="P188" s="140">
        <f t="shared" si="60"/>
        <v>0</v>
      </c>
    </row>
    <row r="189" spans="1:16" x14ac:dyDescent="0.25">
      <c r="A189" s="143" t="s">
        <v>63</v>
      </c>
      <c r="B189" s="177" t="s">
        <v>32</v>
      </c>
      <c r="C189" s="106">
        <v>1400</v>
      </c>
      <c r="D189" s="110"/>
      <c r="E189" s="106"/>
      <c r="F189" s="131"/>
      <c r="G189" s="106"/>
      <c r="H189" s="208"/>
      <c r="I189" s="106"/>
      <c r="J189" s="110"/>
      <c r="K189" s="106"/>
      <c r="L189" s="131"/>
      <c r="M189" s="106"/>
      <c r="N189" s="208"/>
      <c r="O189" s="108">
        <f t="shared" si="59"/>
        <v>1400</v>
      </c>
      <c r="P189" s="140">
        <f t="shared" si="60"/>
        <v>0</v>
      </c>
    </row>
    <row r="190" spans="1:16" x14ac:dyDescent="0.25">
      <c r="A190" s="143" t="s">
        <v>63</v>
      </c>
      <c r="B190" s="177" t="s">
        <v>43</v>
      </c>
      <c r="C190" s="106">
        <v>1000</v>
      </c>
      <c r="D190" s="110"/>
      <c r="E190" s="106"/>
      <c r="F190" s="131"/>
      <c r="G190" s="106"/>
      <c r="H190" s="208"/>
      <c r="I190" s="106"/>
      <c r="J190" s="110"/>
      <c r="K190" s="106"/>
      <c r="L190" s="131"/>
      <c r="M190" s="106"/>
      <c r="N190" s="208"/>
      <c r="O190" s="108">
        <f t="shared" si="59"/>
        <v>1000</v>
      </c>
      <c r="P190" s="140">
        <f t="shared" si="60"/>
        <v>0</v>
      </c>
    </row>
    <row r="191" spans="1:16" x14ac:dyDescent="0.25">
      <c r="A191" s="143" t="s">
        <v>63</v>
      </c>
      <c r="B191" s="177" t="s">
        <v>171</v>
      </c>
      <c r="C191" s="106">
        <v>1000</v>
      </c>
      <c r="D191" s="110"/>
      <c r="E191" s="106"/>
      <c r="F191" s="131"/>
      <c r="G191" s="106"/>
      <c r="H191" s="208"/>
      <c r="I191" s="106"/>
      <c r="J191" s="110"/>
      <c r="K191" s="106"/>
      <c r="L191" s="131"/>
      <c r="M191" s="106"/>
      <c r="N191" s="208"/>
      <c r="O191" s="108">
        <f t="shared" si="59"/>
        <v>1000</v>
      </c>
      <c r="P191" s="140">
        <f t="shared" si="60"/>
        <v>0</v>
      </c>
    </row>
    <row r="192" spans="1:16" x14ac:dyDescent="0.25">
      <c r="A192" s="143" t="s">
        <v>63</v>
      </c>
      <c r="B192" s="177" t="s">
        <v>45</v>
      </c>
      <c r="C192" s="106">
        <v>1000</v>
      </c>
      <c r="D192" s="110"/>
      <c r="E192" s="106"/>
      <c r="F192" s="131"/>
      <c r="G192" s="106"/>
      <c r="H192" s="208"/>
      <c r="I192" s="106"/>
      <c r="J192" s="110"/>
      <c r="K192" s="106"/>
      <c r="L192" s="131"/>
      <c r="M192" s="106"/>
      <c r="N192" s="208"/>
      <c r="O192" s="108">
        <f t="shared" si="59"/>
        <v>1000</v>
      </c>
      <c r="P192" s="140">
        <f t="shared" si="60"/>
        <v>0</v>
      </c>
    </row>
    <row r="193" spans="1:17" ht="13.8" thickBot="1" x14ac:dyDescent="0.3">
      <c r="A193" s="143" t="s">
        <v>63</v>
      </c>
      <c r="B193" s="177" t="s">
        <v>46</v>
      </c>
      <c r="C193" s="106">
        <v>1000</v>
      </c>
      <c r="D193" s="110"/>
      <c r="E193" s="228"/>
      <c r="F193" s="215"/>
      <c r="G193" s="228"/>
      <c r="H193" s="208"/>
      <c r="I193" s="106"/>
      <c r="J193" s="110"/>
      <c r="K193" s="228"/>
      <c r="L193" s="215"/>
      <c r="M193" s="228"/>
      <c r="N193" s="208"/>
      <c r="O193" s="142">
        <f t="shared" si="59"/>
        <v>1000</v>
      </c>
      <c r="P193" s="225">
        <f t="shared" si="60"/>
        <v>0</v>
      </c>
    </row>
    <row r="194" spans="1:17" ht="16.5" customHeight="1" thickBot="1" x14ac:dyDescent="0.3">
      <c r="A194" s="151"/>
      <c r="B194" s="152" t="s">
        <v>264</v>
      </c>
      <c r="C194" s="115">
        <f t="shared" ref="C194:P194" si="61">SUM(C153,C163,C165,C167,C169,C171,C173,C175,C178,C181,C183,C184,C185,C186,C187,C188,C189,C190,C191,C192,C193)</f>
        <v>3848000</v>
      </c>
      <c r="D194" s="222">
        <f t="shared" si="61"/>
        <v>2741700</v>
      </c>
      <c r="E194" s="115">
        <f t="shared" si="61"/>
        <v>30228</v>
      </c>
      <c r="F194" s="222">
        <f t="shared" si="61"/>
        <v>0</v>
      </c>
      <c r="G194" s="115">
        <f t="shared" si="61"/>
        <v>0</v>
      </c>
      <c r="H194" s="222">
        <f t="shared" si="61"/>
        <v>0</v>
      </c>
      <c r="I194" s="115">
        <f t="shared" si="61"/>
        <v>59200</v>
      </c>
      <c r="J194" s="222">
        <f t="shared" si="61"/>
        <v>5500</v>
      </c>
      <c r="K194" s="153">
        <f t="shared" si="61"/>
        <v>100000</v>
      </c>
      <c r="L194" s="229">
        <f t="shared" si="61"/>
        <v>0</v>
      </c>
      <c r="M194" s="115">
        <f t="shared" si="61"/>
        <v>647.05999999999995</v>
      </c>
      <c r="N194" s="222">
        <f t="shared" si="61"/>
        <v>0</v>
      </c>
      <c r="O194" s="153">
        <f t="shared" si="61"/>
        <v>4038075.06</v>
      </c>
      <c r="P194" s="229">
        <f t="shared" si="61"/>
        <v>2747200</v>
      </c>
      <c r="Q194" s="273"/>
    </row>
    <row r="195" spans="1:17" s="60" customFormat="1" ht="16.5" customHeight="1" thickBot="1" x14ac:dyDescent="0.3">
      <c r="A195" s="328" t="s">
        <v>265</v>
      </c>
      <c r="B195" s="329"/>
      <c r="C195" s="329"/>
      <c r="D195" s="329"/>
      <c r="E195" s="329"/>
      <c r="F195" s="329"/>
      <c r="G195" s="329"/>
      <c r="H195" s="329"/>
      <c r="I195" s="329"/>
      <c r="J195" s="329"/>
      <c r="K195" s="329"/>
      <c r="L195" s="329"/>
      <c r="M195" s="329"/>
      <c r="N195" s="329"/>
      <c r="O195" s="329"/>
      <c r="P195" s="330"/>
    </row>
    <row r="196" spans="1:17" ht="15.75" customHeight="1" x14ac:dyDescent="0.25">
      <c r="A196" s="143"/>
      <c r="B196" s="144" t="s">
        <v>125</v>
      </c>
      <c r="C196" s="123">
        <f t="shared" ref="C196:P196" si="62">SUM(C197:C217)</f>
        <v>2087827</v>
      </c>
      <c r="D196" s="156">
        <f t="shared" si="62"/>
        <v>0</v>
      </c>
      <c r="E196" s="123">
        <f t="shared" si="62"/>
        <v>817203.1</v>
      </c>
      <c r="F196" s="156">
        <f t="shared" si="62"/>
        <v>15954</v>
      </c>
      <c r="G196" s="123">
        <f t="shared" si="62"/>
        <v>250491.88</v>
      </c>
      <c r="H196" s="213">
        <f t="shared" si="62"/>
        <v>8000</v>
      </c>
      <c r="I196" s="123">
        <f t="shared" si="62"/>
        <v>0</v>
      </c>
      <c r="J196" s="156">
        <f t="shared" si="62"/>
        <v>0</v>
      </c>
      <c r="K196" s="123">
        <f t="shared" si="62"/>
        <v>0</v>
      </c>
      <c r="L196" s="156">
        <f t="shared" si="62"/>
        <v>0</v>
      </c>
      <c r="M196" s="123">
        <f t="shared" si="62"/>
        <v>2419318.7399999998</v>
      </c>
      <c r="N196" s="213">
        <f t="shared" si="62"/>
        <v>2470.9699999999998</v>
      </c>
      <c r="O196" s="123">
        <f t="shared" si="62"/>
        <v>5574840.7200000016</v>
      </c>
      <c r="P196" s="156">
        <f t="shared" si="62"/>
        <v>26424.97</v>
      </c>
    </row>
    <row r="197" spans="1:17" ht="15.75" customHeight="1" x14ac:dyDescent="0.25">
      <c r="A197" s="150" t="s">
        <v>60</v>
      </c>
      <c r="B197" s="176" t="s">
        <v>269</v>
      </c>
      <c r="C197" s="108"/>
      <c r="D197" s="129"/>
      <c r="E197" s="120"/>
      <c r="F197" s="147"/>
      <c r="G197" s="124"/>
      <c r="H197" s="216"/>
      <c r="I197" s="124"/>
      <c r="J197" s="127"/>
      <c r="K197" s="124"/>
      <c r="L197" s="125"/>
      <c r="M197" s="108">
        <f>911400+19.76-0.68</f>
        <v>911419.08</v>
      </c>
      <c r="N197" s="210"/>
      <c r="O197" s="160">
        <f>SUM(C197,E197,G197,I197,K197,M197)</f>
        <v>911419.08</v>
      </c>
      <c r="P197" s="217">
        <f>SUM(D197,F197,H197,J197,L197,N197)</f>
        <v>0</v>
      </c>
    </row>
    <row r="198" spans="1:17" ht="24" customHeight="1" x14ac:dyDescent="0.25">
      <c r="A198" s="157" t="s">
        <v>62</v>
      </c>
      <c r="B198" s="180" t="s">
        <v>110</v>
      </c>
      <c r="C198" s="108"/>
      <c r="D198" s="129"/>
      <c r="E198" s="120">
        <v>4700</v>
      </c>
      <c r="F198" s="147"/>
      <c r="G198" s="124"/>
      <c r="H198" s="216"/>
      <c r="I198" s="124"/>
      <c r="J198" s="127"/>
      <c r="K198" s="124"/>
      <c r="L198" s="125"/>
      <c r="M198" s="124"/>
      <c r="N198" s="210"/>
      <c r="O198" s="108">
        <f t="shared" ref="O198:O258" si="63">SUM(C198,E198,G198,I198,K198,M198)</f>
        <v>4700</v>
      </c>
      <c r="P198" s="214">
        <f t="shared" ref="P198:P258" si="64">SUM(D198,F198,H198,J198,L198,N198)</f>
        <v>0</v>
      </c>
    </row>
    <row r="199" spans="1:17" ht="18.75" customHeight="1" x14ac:dyDescent="0.25">
      <c r="A199" s="150" t="s">
        <v>67</v>
      </c>
      <c r="B199" s="158" t="s">
        <v>343</v>
      </c>
      <c r="C199" s="108"/>
      <c r="D199" s="129"/>
      <c r="E199" s="120">
        <f>2600-298</f>
        <v>2302</v>
      </c>
      <c r="F199" s="147"/>
      <c r="G199" s="124"/>
      <c r="H199" s="216"/>
      <c r="I199" s="124"/>
      <c r="J199" s="127"/>
      <c r="K199" s="124"/>
      <c r="L199" s="125"/>
      <c r="M199" s="124"/>
      <c r="N199" s="210"/>
      <c r="O199" s="108">
        <f t="shared" si="63"/>
        <v>2302</v>
      </c>
      <c r="P199" s="214">
        <f t="shared" si="64"/>
        <v>0</v>
      </c>
    </row>
    <row r="200" spans="1:17" ht="25.5" customHeight="1" x14ac:dyDescent="0.25">
      <c r="A200" s="150" t="s">
        <v>65</v>
      </c>
      <c r="B200" s="181" t="s">
        <v>295</v>
      </c>
      <c r="C200" s="232">
        <f>1574400-771373-45000</f>
        <v>758027</v>
      </c>
      <c r="D200" s="129"/>
      <c r="E200" s="120">
        <v>239500</v>
      </c>
      <c r="F200" s="147">
        <v>6800</v>
      </c>
      <c r="G200" s="124"/>
      <c r="H200" s="216"/>
      <c r="I200" s="124"/>
      <c r="J200" s="127"/>
      <c r="K200" s="124"/>
      <c r="L200" s="125"/>
      <c r="M200" s="108">
        <v>771373</v>
      </c>
      <c r="N200" s="210"/>
      <c r="O200" s="108">
        <f t="shared" si="63"/>
        <v>1768900</v>
      </c>
      <c r="P200" s="214">
        <f t="shared" si="64"/>
        <v>6800</v>
      </c>
    </row>
    <row r="201" spans="1:17" ht="25.5" customHeight="1" x14ac:dyDescent="0.25">
      <c r="A201" s="150" t="s">
        <v>65</v>
      </c>
      <c r="B201" s="181" t="s">
        <v>382</v>
      </c>
      <c r="C201" s="232">
        <f>1513900-700000</f>
        <v>813900</v>
      </c>
      <c r="D201" s="129"/>
      <c r="E201" s="120"/>
      <c r="F201" s="147"/>
      <c r="G201" s="124"/>
      <c r="H201" s="216"/>
      <c r="I201" s="124"/>
      <c r="J201" s="127"/>
      <c r="K201" s="124"/>
      <c r="L201" s="125"/>
      <c r="M201" s="108">
        <v>700000</v>
      </c>
      <c r="N201" s="210"/>
      <c r="O201" s="232">
        <f t="shared" si="63"/>
        <v>1513900</v>
      </c>
      <c r="P201" s="214">
        <f t="shared" si="64"/>
        <v>0</v>
      </c>
    </row>
    <row r="202" spans="1:17" ht="15.75" customHeight="1" x14ac:dyDescent="0.25">
      <c r="A202" s="150" t="s">
        <v>65</v>
      </c>
      <c r="B202" s="176" t="s">
        <v>267</v>
      </c>
      <c r="C202" s="108"/>
      <c r="D202" s="129"/>
      <c r="E202" s="120">
        <v>99600</v>
      </c>
      <c r="F202" s="147">
        <v>2700</v>
      </c>
      <c r="G202" s="124"/>
      <c r="H202" s="216"/>
      <c r="I202" s="124"/>
      <c r="J202" s="127"/>
      <c r="K202" s="124"/>
      <c r="L202" s="125"/>
      <c r="M202" s="124"/>
      <c r="N202" s="210"/>
      <c r="O202" s="108">
        <f t="shared" si="63"/>
        <v>99600</v>
      </c>
      <c r="P202" s="214">
        <f t="shared" si="64"/>
        <v>2700</v>
      </c>
    </row>
    <row r="203" spans="1:17" ht="23.25" customHeight="1" x14ac:dyDescent="0.25">
      <c r="A203" s="150" t="s">
        <v>65</v>
      </c>
      <c r="B203" s="181" t="s">
        <v>273</v>
      </c>
      <c r="C203" s="108"/>
      <c r="D203" s="129"/>
      <c r="E203" s="120">
        <v>164100</v>
      </c>
      <c r="F203" s="147"/>
      <c r="G203" s="124"/>
      <c r="H203" s="216"/>
      <c r="I203" s="124"/>
      <c r="J203" s="127"/>
      <c r="K203" s="124"/>
      <c r="L203" s="125"/>
      <c r="M203" s="124"/>
      <c r="N203" s="210"/>
      <c r="O203" s="108">
        <f t="shared" si="63"/>
        <v>164100</v>
      </c>
      <c r="P203" s="214">
        <f t="shared" si="64"/>
        <v>0</v>
      </c>
    </row>
    <row r="204" spans="1:17" ht="24" customHeight="1" x14ac:dyDescent="0.25">
      <c r="A204" s="150" t="s">
        <v>65</v>
      </c>
      <c r="B204" s="182" t="s">
        <v>268</v>
      </c>
      <c r="C204" s="108">
        <v>28000</v>
      </c>
      <c r="D204" s="129"/>
      <c r="E204" s="120"/>
      <c r="F204" s="147"/>
      <c r="G204" s="124"/>
      <c r="H204" s="216"/>
      <c r="I204" s="124"/>
      <c r="J204" s="127"/>
      <c r="K204" s="124"/>
      <c r="L204" s="125"/>
      <c r="M204" s="124"/>
      <c r="N204" s="210"/>
      <c r="O204" s="108">
        <f t="shared" si="63"/>
        <v>28000</v>
      </c>
      <c r="P204" s="214">
        <f t="shared" si="64"/>
        <v>0</v>
      </c>
    </row>
    <row r="205" spans="1:17" ht="15.75" customHeight="1" x14ac:dyDescent="0.25">
      <c r="A205" s="150" t="s">
        <v>65</v>
      </c>
      <c r="B205" s="176" t="s">
        <v>271</v>
      </c>
      <c r="C205" s="108">
        <v>240000</v>
      </c>
      <c r="D205" s="129"/>
      <c r="E205" s="179"/>
      <c r="F205" s="127"/>
      <c r="G205" s="124"/>
      <c r="H205" s="216"/>
      <c r="I205" s="124"/>
      <c r="J205" s="127"/>
      <c r="K205" s="124"/>
      <c r="L205" s="125"/>
      <c r="M205" s="124"/>
      <c r="N205" s="210"/>
      <c r="O205" s="108">
        <f t="shared" si="63"/>
        <v>240000</v>
      </c>
      <c r="P205" s="217">
        <f t="shared" si="64"/>
        <v>0</v>
      </c>
    </row>
    <row r="206" spans="1:17" ht="15.75" customHeight="1" x14ac:dyDescent="0.25">
      <c r="A206" s="150" t="s">
        <v>65</v>
      </c>
      <c r="B206" s="176" t="s">
        <v>336</v>
      </c>
      <c r="C206" s="108">
        <v>37000</v>
      </c>
      <c r="D206" s="129"/>
      <c r="E206" s="179"/>
      <c r="F206" s="127"/>
      <c r="G206" s="124"/>
      <c r="H206" s="216"/>
      <c r="I206" s="124"/>
      <c r="J206" s="127"/>
      <c r="K206" s="126"/>
      <c r="L206" s="125"/>
      <c r="M206" s="124"/>
      <c r="N206" s="210"/>
      <c r="O206" s="108">
        <f t="shared" si="63"/>
        <v>37000</v>
      </c>
      <c r="P206" s="217">
        <f t="shared" si="64"/>
        <v>0</v>
      </c>
    </row>
    <row r="207" spans="1:17" ht="15.75" customHeight="1" x14ac:dyDescent="0.25">
      <c r="A207" s="150" t="s">
        <v>65</v>
      </c>
      <c r="B207" s="165" t="s">
        <v>521</v>
      </c>
      <c r="C207" s="108">
        <v>4000</v>
      </c>
      <c r="D207" s="129"/>
      <c r="E207" s="179"/>
      <c r="F207" s="127"/>
      <c r="G207" s="124"/>
      <c r="H207" s="216"/>
      <c r="I207" s="124"/>
      <c r="J207" s="127"/>
      <c r="K207" s="126"/>
      <c r="L207" s="125"/>
      <c r="M207" s="124"/>
      <c r="N207" s="210"/>
      <c r="O207" s="108">
        <f t="shared" si="63"/>
        <v>4000</v>
      </c>
      <c r="P207" s="217">
        <f t="shared" si="64"/>
        <v>0</v>
      </c>
    </row>
    <row r="208" spans="1:17" ht="15.75" customHeight="1" x14ac:dyDescent="0.25">
      <c r="A208" s="150" t="s">
        <v>65</v>
      </c>
      <c r="B208" s="165" t="s">
        <v>437</v>
      </c>
      <c r="C208" s="108">
        <v>8000</v>
      </c>
      <c r="D208" s="129"/>
      <c r="E208" s="120"/>
      <c r="F208" s="132"/>
      <c r="G208" s="108">
        <v>37700</v>
      </c>
      <c r="H208" s="214">
        <v>6800</v>
      </c>
      <c r="I208" s="124"/>
      <c r="J208" s="127"/>
      <c r="K208" s="126"/>
      <c r="L208" s="125"/>
      <c r="M208" s="108">
        <v>3690.75</v>
      </c>
      <c r="N208" s="210"/>
      <c r="O208" s="108">
        <f t="shared" si="63"/>
        <v>49390.75</v>
      </c>
      <c r="P208" s="214">
        <f t="shared" si="64"/>
        <v>6800</v>
      </c>
    </row>
    <row r="209" spans="1:16" ht="17.25" customHeight="1" x14ac:dyDescent="0.25">
      <c r="A209" s="150" t="s">
        <v>65</v>
      </c>
      <c r="B209" s="165" t="s">
        <v>438</v>
      </c>
      <c r="C209" s="108"/>
      <c r="D209" s="129"/>
      <c r="E209" s="120"/>
      <c r="F209" s="132"/>
      <c r="G209" s="108">
        <v>6600</v>
      </c>
      <c r="H209" s="214">
        <v>1200</v>
      </c>
      <c r="I209" s="124"/>
      <c r="J209" s="127"/>
      <c r="K209" s="126"/>
      <c r="L209" s="125"/>
      <c r="M209" s="108">
        <v>731.82</v>
      </c>
      <c r="N209" s="210"/>
      <c r="O209" s="108">
        <f t="shared" si="63"/>
        <v>7331.82</v>
      </c>
      <c r="P209" s="214">
        <f t="shared" si="64"/>
        <v>1200</v>
      </c>
    </row>
    <row r="210" spans="1:16" ht="40.799999999999997" customHeight="1" x14ac:dyDescent="0.25">
      <c r="A210" s="150" t="s">
        <v>65</v>
      </c>
      <c r="B210" s="158" t="s">
        <v>499</v>
      </c>
      <c r="C210" s="108"/>
      <c r="D210" s="129"/>
      <c r="E210" s="120">
        <v>5695</v>
      </c>
      <c r="F210" s="132"/>
      <c r="G210" s="108"/>
      <c r="H210" s="214"/>
      <c r="I210" s="124"/>
      <c r="J210" s="127"/>
      <c r="K210" s="126"/>
      <c r="L210" s="125"/>
      <c r="M210" s="108"/>
      <c r="N210" s="210"/>
      <c r="O210" s="108">
        <f t="shared" ref="O210" si="65">SUM(C210,E210,G210,I210,K210,M210)</f>
        <v>5695</v>
      </c>
      <c r="P210" s="214">
        <f t="shared" ref="P210" si="66">SUM(D210,F210,H210,J210,L210,N210)</f>
        <v>0</v>
      </c>
    </row>
    <row r="211" spans="1:16" ht="27.6" customHeight="1" x14ac:dyDescent="0.25">
      <c r="A211" s="150" t="s">
        <v>65</v>
      </c>
      <c r="B211" s="158" t="s">
        <v>469</v>
      </c>
      <c r="C211" s="108">
        <v>55800</v>
      </c>
      <c r="D211" s="129"/>
      <c r="E211" s="120">
        <f>105900-8300</f>
        <v>97600</v>
      </c>
      <c r="F211" s="132">
        <v>2070</v>
      </c>
      <c r="G211" s="108"/>
      <c r="H211" s="214"/>
      <c r="I211" s="124"/>
      <c r="J211" s="127"/>
      <c r="K211" s="126"/>
      <c r="L211" s="125"/>
      <c r="M211" s="108"/>
      <c r="N211" s="210"/>
      <c r="O211" s="108">
        <f t="shared" ref="O211" si="67">SUM(C211,E211,G211,I211,K211,M211)</f>
        <v>153400</v>
      </c>
      <c r="P211" s="214">
        <f t="shared" ref="P211" si="68">SUM(D211,F211,H211,J211,L211,N211)</f>
        <v>2070</v>
      </c>
    </row>
    <row r="212" spans="1:16" ht="17.25" customHeight="1" x14ac:dyDescent="0.25">
      <c r="A212" s="150" t="s">
        <v>65</v>
      </c>
      <c r="B212" s="165" t="s">
        <v>459</v>
      </c>
      <c r="C212" s="108"/>
      <c r="D212" s="129"/>
      <c r="E212" s="120">
        <f>111818-32000</f>
        <v>79818</v>
      </c>
      <c r="F212" s="132">
        <v>2161</v>
      </c>
      <c r="G212" s="108"/>
      <c r="H212" s="214"/>
      <c r="I212" s="124"/>
      <c r="J212" s="127"/>
      <c r="K212" s="126"/>
      <c r="L212" s="125"/>
      <c r="M212" s="124"/>
      <c r="N212" s="210"/>
      <c r="O212" s="108">
        <f t="shared" si="63"/>
        <v>79818</v>
      </c>
      <c r="P212" s="214">
        <f t="shared" si="64"/>
        <v>2161</v>
      </c>
    </row>
    <row r="213" spans="1:16" ht="26.4" customHeight="1" x14ac:dyDescent="0.25">
      <c r="A213" s="150" t="s">
        <v>65</v>
      </c>
      <c r="B213" s="158" t="s">
        <v>473</v>
      </c>
      <c r="C213" s="108"/>
      <c r="D213" s="129"/>
      <c r="E213" s="120">
        <v>235.2</v>
      </c>
      <c r="F213" s="132"/>
      <c r="G213" s="108"/>
      <c r="H213" s="214"/>
      <c r="I213" s="124"/>
      <c r="J213" s="127"/>
      <c r="K213" s="126"/>
      <c r="L213" s="125"/>
      <c r="M213" s="124"/>
      <c r="N213" s="210"/>
      <c r="O213" s="108">
        <f t="shared" si="63"/>
        <v>235.2</v>
      </c>
      <c r="P213" s="214">
        <f t="shared" si="64"/>
        <v>0</v>
      </c>
    </row>
    <row r="214" spans="1:16" ht="24.6" customHeight="1" x14ac:dyDescent="0.25">
      <c r="A214" s="150" t="s">
        <v>65</v>
      </c>
      <c r="B214" s="158" t="s">
        <v>520</v>
      </c>
      <c r="C214" s="108">
        <v>31100</v>
      </c>
      <c r="D214" s="129"/>
      <c r="E214" s="120">
        <v>77454</v>
      </c>
      <c r="F214" s="132">
        <v>2223</v>
      </c>
      <c r="G214" s="108"/>
      <c r="H214" s="214"/>
      <c r="I214" s="124"/>
      <c r="J214" s="127"/>
      <c r="K214" s="126"/>
      <c r="L214" s="125"/>
      <c r="M214" s="124"/>
      <c r="N214" s="210"/>
      <c r="O214" s="108">
        <f t="shared" ref="O214" si="69">SUM(C214,E214,G214,I214,K214,M214)</f>
        <v>108554</v>
      </c>
      <c r="P214" s="214">
        <f t="shared" ref="P214" si="70">SUM(D214,F214,H214,J214,L214,N214)</f>
        <v>2223</v>
      </c>
    </row>
    <row r="215" spans="1:16" ht="16.5" customHeight="1" x14ac:dyDescent="0.25">
      <c r="A215" s="150" t="s">
        <v>65</v>
      </c>
      <c r="B215" s="158" t="s">
        <v>439</v>
      </c>
      <c r="C215" s="108">
        <v>45000</v>
      </c>
      <c r="D215" s="129"/>
      <c r="E215" s="120">
        <v>24679</v>
      </c>
      <c r="F215" s="132"/>
      <c r="G215" s="108">
        <v>3956.23</v>
      </c>
      <c r="H215" s="214"/>
      <c r="I215" s="124"/>
      <c r="J215" s="127"/>
      <c r="K215" s="126"/>
      <c r="L215" s="125"/>
      <c r="M215" s="108">
        <v>18575.21</v>
      </c>
      <c r="N215" s="207">
        <v>2470.9699999999998</v>
      </c>
      <c r="O215" s="108">
        <f t="shared" si="63"/>
        <v>92210.44</v>
      </c>
      <c r="P215" s="214">
        <f t="shared" si="64"/>
        <v>2470.9699999999998</v>
      </c>
    </row>
    <row r="216" spans="1:16" ht="18" customHeight="1" x14ac:dyDescent="0.25">
      <c r="A216" s="150" t="s">
        <v>65</v>
      </c>
      <c r="B216" s="158" t="s">
        <v>471</v>
      </c>
      <c r="C216" s="108">
        <v>17000</v>
      </c>
      <c r="D216" s="129"/>
      <c r="E216" s="120">
        <v>21519.9</v>
      </c>
      <c r="F216" s="132"/>
      <c r="G216" s="108"/>
      <c r="H216" s="214"/>
      <c r="I216" s="124"/>
      <c r="J216" s="127"/>
      <c r="K216" s="126"/>
      <c r="L216" s="125"/>
      <c r="M216" s="124"/>
      <c r="N216" s="210"/>
      <c r="O216" s="108">
        <f t="shared" si="63"/>
        <v>38519.9</v>
      </c>
      <c r="P216" s="214">
        <f t="shared" si="64"/>
        <v>0</v>
      </c>
    </row>
    <row r="217" spans="1:16" ht="22.5" customHeight="1" x14ac:dyDescent="0.25">
      <c r="A217" s="150" t="s">
        <v>65</v>
      </c>
      <c r="B217" s="158" t="s">
        <v>440</v>
      </c>
      <c r="C217" s="108">
        <v>50000</v>
      </c>
      <c r="D217" s="129"/>
      <c r="E217" s="120"/>
      <c r="F217" s="132"/>
      <c r="G217" s="108">
        <v>202235.65</v>
      </c>
      <c r="H217" s="214"/>
      <c r="I217" s="124"/>
      <c r="J217" s="127"/>
      <c r="K217" s="184"/>
      <c r="L217" s="125"/>
      <c r="M217" s="108">
        <v>13528.88</v>
      </c>
      <c r="N217" s="210"/>
      <c r="O217" s="108">
        <f t="shared" si="63"/>
        <v>265764.52999999997</v>
      </c>
      <c r="P217" s="214">
        <f t="shared" si="64"/>
        <v>0</v>
      </c>
    </row>
    <row r="218" spans="1:16" ht="16.5" customHeight="1" x14ac:dyDescent="0.25">
      <c r="A218" s="150"/>
      <c r="B218" s="183" t="s">
        <v>137</v>
      </c>
      <c r="C218" s="106">
        <f t="shared" ref="C218:N218" si="71">SUM(C219:C222)</f>
        <v>1102500</v>
      </c>
      <c r="D218" s="131">
        <f t="shared" si="71"/>
        <v>1011000</v>
      </c>
      <c r="E218" s="106">
        <f t="shared" si="71"/>
        <v>272315</v>
      </c>
      <c r="F218" s="131">
        <f t="shared" si="71"/>
        <v>240374</v>
      </c>
      <c r="G218" s="106">
        <f t="shared" si="71"/>
        <v>100000</v>
      </c>
      <c r="H218" s="219">
        <f t="shared" si="71"/>
        <v>95000</v>
      </c>
      <c r="I218" s="106">
        <f t="shared" si="71"/>
        <v>612000</v>
      </c>
      <c r="J218" s="131">
        <f t="shared" si="71"/>
        <v>120000</v>
      </c>
      <c r="K218" s="106">
        <f t="shared" si="71"/>
        <v>0</v>
      </c>
      <c r="L218" s="131">
        <f t="shared" si="71"/>
        <v>0</v>
      </c>
      <c r="M218" s="106">
        <f t="shared" si="71"/>
        <v>6355.64</v>
      </c>
      <c r="N218" s="219">
        <f t="shared" si="71"/>
        <v>0</v>
      </c>
      <c r="O218" s="106">
        <f t="shared" si="63"/>
        <v>2093170.64</v>
      </c>
      <c r="P218" s="217">
        <f t="shared" si="64"/>
        <v>1466374</v>
      </c>
    </row>
    <row r="219" spans="1:16" ht="15.75" customHeight="1" x14ac:dyDescent="0.25">
      <c r="A219" s="150" t="s">
        <v>65</v>
      </c>
      <c r="B219" s="185" t="s">
        <v>170</v>
      </c>
      <c r="C219" s="108">
        <v>1102500</v>
      </c>
      <c r="D219" s="122">
        <v>1011000</v>
      </c>
      <c r="E219" s="120"/>
      <c r="F219" s="147"/>
      <c r="G219" s="124"/>
      <c r="H219" s="216"/>
      <c r="I219" s="108">
        <v>612000</v>
      </c>
      <c r="J219" s="147">
        <v>120000</v>
      </c>
      <c r="K219" s="186"/>
      <c r="L219" s="125"/>
      <c r="M219" s="108">
        <v>6355.64</v>
      </c>
      <c r="N219" s="210"/>
      <c r="O219" s="108">
        <f t="shared" si="63"/>
        <v>1720855.64</v>
      </c>
      <c r="P219" s="217">
        <f t="shared" si="64"/>
        <v>1131000</v>
      </c>
    </row>
    <row r="220" spans="1:16" ht="19.8" customHeight="1" x14ac:dyDescent="0.25">
      <c r="A220" s="150" t="s">
        <v>65</v>
      </c>
      <c r="B220" s="181" t="s">
        <v>443</v>
      </c>
      <c r="C220" s="108"/>
      <c r="D220" s="122"/>
      <c r="E220" s="120"/>
      <c r="F220" s="147"/>
      <c r="G220" s="108">
        <v>100000</v>
      </c>
      <c r="H220" s="214">
        <v>95000</v>
      </c>
      <c r="I220" s="108"/>
      <c r="J220" s="147"/>
      <c r="K220" s="221"/>
      <c r="L220" s="122"/>
      <c r="M220" s="108"/>
      <c r="N220" s="207"/>
      <c r="O220" s="108">
        <f t="shared" si="63"/>
        <v>100000</v>
      </c>
      <c r="P220" s="214">
        <f t="shared" si="64"/>
        <v>95000</v>
      </c>
    </row>
    <row r="221" spans="1:16" ht="39" customHeight="1" x14ac:dyDescent="0.25">
      <c r="A221" s="150" t="s">
        <v>65</v>
      </c>
      <c r="B221" s="181" t="s">
        <v>470</v>
      </c>
      <c r="C221" s="108"/>
      <c r="D221" s="122"/>
      <c r="E221" s="120">
        <v>51115</v>
      </c>
      <c r="F221" s="147">
        <v>50374</v>
      </c>
      <c r="G221" s="108"/>
      <c r="H221" s="216"/>
      <c r="I221" s="108"/>
      <c r="J221" s="147"/>
      <c r="K221" s="126"/>
      <c r="L221" s="125"/>
      <c r="M221" s="124"/>
      <c r="N221" s="210"/>
      <c r="O221" s="108">
        <f t="shared" ref="O221" si="72">SUM(C221,E221,G221,I221,K221,M221)</f>
        <v>51115</v>
      </c>
      <c r="P221" s="214">
        <f t="shared" ref="P221" si="73">SUM(D221,F221,H221,J221,L221,N221)</f>
        <v>50374</v>
      </c>
    </row>
    <row r="222" spans="1:16" ht="24.75" customHeight="1" x14ac:dyDescent="0.25">
      <c r="A222" s="150" t="s">
        <v>65</v>
      </c>
      <c r="B222" s="181" t="s">
        <v>273</v>
      </c>
      <c r="C222" s="124"/>
      <c r="D222" s="125"/>
      <c r="E222" s="120">
        <v>221200</v>
      </c>
      <c r="F222" s="147">
        <v>190000</v>
      </c>
      <c r="G222" s="124"/>
      <c r="H222" s="216"/>
      <c r="I222" s="124"/>
      <c r="J222" s="127"/>
      <c r="K222" s="184"/>
      <c r="L222" s="125"/>
      <c r="M222" s="124"/>
      <c r="N222" s="210"/>
      <c r="O222" s="108">
        <f t="shared" si="63"/>
        <v>221200</v>
      </c>
      <c r="P222" s="214">
        <f t="shared" si="64"/>
        <v>190000</v>
      </c>
    </row>
    <row r="223" spans="1:16" x14ac:dyDescent="0.25">
      <c r="A223" s="150"/>
      <c r="B223" s="173" t="s">
        <v>482</v>
      </c>
      <c r="C223" s="106">
        <f t="shared" ref="C223:P223" si="74">SUM(C224:C227)</f>
        <v>985100</v>
      </c>
      <c r="D223" s="131">
        <f t="shared" si="74"/>
        <v>485100</v>
      </c>
      <c r="E223" s="106">
        <f t="shared" si="74"/>
        <v>34092</v>
      </c>
      <c r="F223" s="131">
        <f t="shared" si="74"/>
        <v>33592</v>
      </c>
      <c r="G223" s="106">
        <f t="shared" si="74"/>
        <v>0</v>
      </c>
      <c r="H223" s="219">
        <f t="shared" si="74"/>
        <v>0</v>
      </c>
      <c r="I223" s="106">
        <f t="shared" si="74"/>
        <v>52000</v>
      </c>
      <c r="J223" s="131">
        <f t="shared" si="74"/>
        <v>0</v>
      </c>
      <c r="K223" s="106">
        <f t="shared" si="74"/>
        <v>0</v>
      </c>
      <c r="L223" s="131">
        <f t="shared" si="74"/>
        <v>0</v>
      </c>
      <c r="M223" s="106">
        <f t="shared" si="74"/>
        <v>0</v>
      </c>
      <c r="N223" s="219">
        <f t="shared" si="74"/>
        <v>0</v>
      </c>
      <c r="O223" s="106">
        <f t="shared" si="74"/>
        <v>1071192</v>
      </c>
      <c r="P223" s="131">
        <f t="shared" si="74"/>
        <v>518692</v>
      </c>
    </row>
    <row r="224" spans="1:16" ht="15.75" customHeight="1" x14ac:dyDescent="0.25">
      <c r="A224" s="150" t="s">
        <v>65</v>
      </c>
      <c r="B224" s="176" t="s">
        <v>336</v>
      </c>
      <c r="C224" s="108">
        <v>400000</v>
      </c>
      <c r="D224" s="129"/>
      <c r="E224" s="120"/>
      <c r="F224" s="127"/>
      <c r="G224" s="124"/>
      <c r="H224" s="216"/>
      <c r="I224" s="124"/>
      <c r="J224" s="127"/>
      <c r="K224" s="126"/>
      <c r="L224" s="125"/>
      <c r="M224" s="108"/>
      <c r="N224" s="210"/>
      <c r="O224" s="108">
        <f t="shared" si="63"/>
        <v>400000</v>
      </c>
      <c r="P224" s="217">
        <f t="shared" si="64"/>
        <v>0</v>
      </c>
    </row>
    <row r="225" spans="1:16" ht="37.200000000000003" customHeight="1" x14ac:dyDescent="0.25">
      <c r="A225" s="150" t="s">
        <v>65</v>
      </c>
      <c r="B225" s="181" t="s">
        <v>470</v>
      </c>
      <c r="C225" s="108"/>
      <c r="D225" s="129"/>
      <c r="E225" s="120">
        <v>6892</v>
      </c>
      <c r="F225" s="147">
        <v>6792</v>
      </c>
      <c r="G225" s="124"/>
      <c r="H225" s="216"/>
      <c r="I225" s="124"/>
      <c r="J225" s="127"/>
      <c r="K225" s="126"/>
      <c r="L225" s="125"/>
      <c r="M225" s="108"/>
      <c r="N225" s="210"/>
      <c r="O225" s="108">
        <f t="shared" ref="O225" si="75">SUM(C225,E225,G225,I225,K225,M225)</f>
        <v>6892</v>
      </c>
      <c r="P225" s="214">
        <f t="shared" ref="P225" si="76">SUM(D225,F225,H225,J225,L225,N225)</f>
        <v>6792</v>
      </c>
    </row>
    <row r="226" spans="1:16" ht="24.75" customHeight="1" x14ac:dyDescent="0.25">
      <c r="A226" s="150" t="s">
        <v>65</v>
      </c>
      <c r="B226" s="181" t="s">
        <v>273</v>
      </c>
      <c r="C226" s="108"/>
      <c r="D226" s="122"/>
      <c r="E226" s="120">
        <v>27200</v>
      </c>
      <c r="F226" s="147">
        <v>26800</v>
      </c>
      <c r="G226" s="124"/>
      <c r="H226" s="216"/>
      <c r="I226" s="124"/>
      <c r="J226" s="127"/>
      <c r="K226" s="126"/>
      <c r="L226" s="125"/>
      <c r="M226" s="124"/>
      <c r="N226" s="210"/>
      <c r="O226" s="108">
        <f t="shared" si="63"/>
        <v>27200</v>
      </c>
      <c r="P226" s="214">
        <f t="shared" si="64"/>
        <v>26800</v>
      </c>
    </row>
    <row r="227" spans="1:16" ht="15.75" customHeight="1" x14ac:dyDescent="0.25">
      <c r="A227" s="150" t="s">
        <v>65</v>
      </c>
      <c r="B227" s="165" t="s">
        <v>170</v>
      </c>
      <c r="C227" s="108">
        <v>585100</v>
      </c>
      <c r="D227" s="122">
        <v>485100</v>
      </c>
      <c r="E227" s="179"/>
      <c r="F227" s="127"/>
      <c r="G227" s="124"/>
      <c r="H227" s="216"/>
      <c r="I227" s="108">
        <v>52000</v>
      </c>
      <c r="J227" s="147"/>
      <c r="K227" s="184"/>
      <c r="L227" s="125"/>
      <c r="M227" s="124"/>
      <c r="N227" s="210"/>
      <c r="O227" s="108">
        <f t="shared" si="63"/>
        <v>637100</v>
      </c>
      <c r="P227" s="214">
        <f t="shared" si="64"/>
        <v>485100</v>
      </c>
    </row>
    <row r="228" spans="1:16" ht="15.75" customHeight="1" x14ac:dyDescent="0.25">
      <c r="A228" s="149"/>
      <c r="B228" s="187" t="s">
        <v>334</v>
      </c>
      <c r="C228" s="106">
        <f t="shared" ref="C228:N228" si="77">SUM(C229:C240)</f>
        <v>1340100</v>
      </c>
      <c r="D228" s="131">
        <f t="shared" si="77"/>
        <v>737700</v>
      </c>
      <c r="E228" s="106">
        <f t="shared" si="77"/>
        <v>550442</v>
      </c>
      <c r="F228" s="131">
        <f t="shared" si="77"/>
        <v>498300</v>
      </c>
      <c r="G228" s="106">
        <f t="shared" si="77"/>
        <v>0</v>
      </c>
      <c r="H228" s="219">
        <f t="shared" si="77"/>
        <v>0</v>
      </c>
      <c r="I228" s="106">
        <f t="shared" si="77"/>
        <v>140000</v>
      </c>
      <c r="J228" s="131">
        <f t="shared" si="77"/>
        <v>25000</v>
      </c>
      <c r="K228" s="106">
        <f t="shared" si="77"/>
        <v>0</v>
      </c>
      <c r="L228" s="131">
        <f t="shared" si="77"/>
        <v>0</v>
      </c>
      <c r="M228" s="106">
        <f t="shared" si="77"/>
        <v>4565.72</v>
      </c>
      <c r="N228" s="219">
        <f t="shared" si="77"/>
        <v>0</v>
      </c>
      <c r="O228" s="106">
        <f t="shared" si="63"/>
        <v>2035107.72</v>
      </c>
      <c r="P228" s="217">
        <f t="shared" si="64"/>
        <v>1261000</v>
      </c>
    </row>
    <row r="229" spans="1:16" ht="16.8" customHeight="1" x14ac:dyDescent="0.25">
      <c r="A229" s="150" t="s">
        <v>67</v>
      </c>
      <c r="B229" s="188" t="s">
        <v>266</v>
      </c>
      <c r="C229" s="108">
        <v>500000</v>
      </c>
      <c r="D229" s="122"/>
      <c r="E229" s="120"/>
      <c r="F229" s="147"/>
      <c r="G229" s="108"/>
      <c r="H229" s="214"/>
      <c r="I229" s="108"/>
      <c r="J229" s="147"/>
      <c r="K229" s="184"/>
      <c r="L229" s="125"/>
      <c r="M229" s="108"/>
      <c r="N229" s="210"/>
      <c r="O229" s="108">
        <f t="shared" ref="O229:O233" si="78">SUM(C229,E229,G229,I229,K229,M229)</f>
        <v>500000</v>
      </c>
      <c r="P229" s="214">
        <f t="shared" ref="P229:P233" si="79">SUM(D229,F229,H229,J229,L229,N229)</f>
        <v>0</v>
      </c>
    </row>
    <row r="230" spans="1:16" x14ac:dyDescent="0.25">
      <c r="A230" s="150" t="s">
        <v>67</v>
      </c>
      <c r="B230" s="189" t="s">
        <v>272</v>
      </c>
      <c r="C230" s="108">
        <v>800</v>
      </c>
      <c r="D230" s="122"/>
      <c r="E230" s="120"/>
      <c r="F230" s="147"/>
      <c r="G230" s="108"/>
      <c r="H230" s="214"/>
      <c r="I230" s="108"/>
      <c r="J230" s="147"/>
      <c r="K230" s="184"/>
      <c r="L230" s="125"/>
      <c r="M230" s="124"/>
      <c r="N230" s="210"/>
      <c r="O230" s="108">
        <f t="shared" si="78"/>
        <v>800</v>
      </c>
      <c r="P230" s="214">
        <f t="shared" si="79"/>
        <v>0</v>
      </c>
    </row>
    <row r="231" spans="1:16" x14ac:dyDescent="0.25">
      <c r="A231" s="150" t="s">
        <v>67</v>
      </c>
      <c r="B231" s="189" t="s">
        <v>343</v>
      </c>
      <c r="C231" s="108"/>
      <c r="D231" s="122"/>
      <c r="E231" s="120">
        <v>298</v>
      </c>
      <c r="F231" s="147">
        <v>293</v>
      </c>
      <c r="G231" s="108"/>
      <c r="H231" s="214"/>
      <c r="I231" s="108"/>
      <c r="J231" s="147"/>
      <c r="K231" s="190"/>
      <c r="L231" s="125"/>
      <c r="M231" s="124"/>
      <c r="N231" s="210"/>
      <c r="O231" s="108">
        <f t="shared" si="78"/>
        <v>298</v>
      </c>
      <c r="P231" s="214">
        <f t="shared" si="79"/>
        <v>293</v>
      </c>
    </row>
    <row r="232" spans="1:16" x14ac:dyDescent="0.25">
      <c r="A232" s="150" t="s">
        <v>65</v>
      </c>
      <c r="B232" s="189" t="s">
        <v>335</v>
      </c>
      <c r="C232" s="108">
        <v>14900</v>
      </c>
      <c r="D232" s="122"/>
      <c r="E232" s="120"/>
      <c r="F232" s="147"/>
      <c r="G232" s="108"/>
      <c r="H232" s="214"/>
      <c r="I232" s="108"/>
      <c r="J232" s="147"/>
      <c r="K232" s="190"/>
      <c r="L232" s="125"/>
      <c r="M232" s="124"/>
      <c r="N232" s="210"/>
      <c r="O232" s="108">
        <f t="shared" si="78"/>
        <v>14900</v>
      </c>
      <c r="P232" s="214">
        <f t="shared" si="79"/>
        <v>0</v>
      </c>
    </row>
    <row r="233" spans="1:16" x14ac:dyDescent="0.25">
      <c r="A233" s="150" t="s">
        <v>65</v>
      </c>
      <c r="B233" s="189" t="s">
        <v>522</v>
      </c>
      <c r="C233" s="108">
        <v>27100</v>
      </c>
      <c r="D233" s="122"/>
      <c r="E233" s="120"/>
      <c r="F233" s="147"/>
      <c r="G233" s="108"/>
      <c r="H233" s="214"/>
      <c r="I233" s="108"/>
      <c r="J233" s="147"/>
      <c r="K233" s="184"/>
      <c r="L233" s="125"/>
      <c r="M233" s="124"/>
      <c r="N233" s="210"/>
      <c r="O233" s="108">
        <f t="shared" si="78"/>
        <v>27100</v>
      </c>
      <c r="P233" s="214">
        <f t="shared" si="79"/>
        <v>0</v>
      </c>
    </row>
    <row r="234" spans="1:16" x14ac:dyDescent="0.25">
      <c r="A234" s="150" t="s">
        <v>65</v>
      </c>
      <c r="B234" s="165" t="s">
        <v>170</v>
      </c>
      <c r="C234" s="108">
        <f>765000+15000+17300</f>
        <v>797300</v>
      </c>
      <c r="D234" s="122">
        <v>737700</v>
      </c>
      <c r="E234" s="120"/>
      <c r="F234" s="147"/>
      <c r="G234" s="108"/>
      <c r="H234" s="214"/>
      <c r="I234" s="108">
        <v>140000</v>
      </c>
      <c r="J234" s="147">
        <v>25000</v>
      </c>
      <c r="K234" s="184"/>
      <c r="L234" s="125"/>
      <c r="M234" s="108">
        <v>4565.72</v>
      </c>
      <c r="N234" s="210"/>
      <c r="O234" s="108">
        <f t="shared" si="63"/>
        <v>941865.72</v>
      </c>
      <c r="P234" s="214">
        <f t="shared" si="64"/>
        <v>762700</v>
      </c>
    </row>
    <row r="235" spans="1:16" ht="39.6" x14ac:dyDescent="0.25">
      <c r="A235" s="150" t="s">
        <v>65</v>
      </c>
      <c r="B235" s="181" t="s">
        <v>470</v>
      </c>
      <c r="C235" s="108"/>
      <c r="D235" s="122"/>
      <c r="E235" s="120">
        <v>37044</v>
      </c>
      <c r="F235" s="147">
        <v>36507</v>
      </c>
      <c r="G235" s="108"/>
      <c r="H235" s="214"/>
      <c r="I235" s="108"/>
      <c r="J235" s="147"/>
      <c r="K235" s="184"/>
      <c r="L235" s="125"/>
      <c r="M235" s="108"/>
      <c r="N235" s="210"/>
      <c r="O235" s="108">
        <f t="shared" ref="O235" si="80">SUM(C235,E235,G235,I235,K235,M235)</f>
        <v>37044</v>
      </c>
      <c r="P235" s="214">
        <f t="shared" ref="P235" si="81">SUM(D235,F235,H235,J235,L235,N235)</f>
        <v>36507</v>
      </c>
    </row>
    <row r="236" spans="1:16" ht="26.4" x14ac:dyDescent="0.25">
      <c r="A236" s="150" t="s">
        <v>65</v>
      </c>
      <c r="B236" s="181" t="s">
        <v>469</v>
      </c>
      <c r="C236" s="108"/>
      <c r="D236" s="122"/>
      <c r="E236" s="120">
        <v>8300</v>
      </c>
      <c r="F236" s="147">
        <v>8100</v>
      </c>
      <c r="G236" s="108"/>
      <c r="H236" s="214"/>
      <c r="I236" s="108"/>
      <c r="J236" s="147"/>
      <c r="K236" s="184"/>
      <c r="L236" s="125"/>
      <c r="M236" s="108"/>
      <c r="N236" s="210"/>
      <c r="O236" s="108">
        <f t="shared" ref="O236" si="82">SUM(C236,E236,G236,I236,K236,M236)</f>
        <v>8300</v>
      </c>
      <c r="P236" s="214">
        <f t="shared" ref="P236" si="83">SUM(D236,F236,H236,J236,L236,N236)</f>
        <v>8100</v>
      </c>
    </row>
    <row r="237" spans="1:16" x14ac:dyDescent="0.25">
      <c r="A237" s="150" t="s">
        <v>65</v>
      </c>
      <c r="B237" s="185" t="s">
        <v>459</v>
      </c>
      <c r="C237" s="108"/>
      <c r="D237" s="122"/>
      <c r="E237" s="120">
        <v>32000</v>
      </c>
      <c r="F237" s="147">
        <v>17800</v>
      </c>
      <c r="G237" s="108"/>
      <c r="H237" s="214"/>
      <c r="I237" s="108"/>
      <c r="J237" s="147"/>
      <c r="K237" s="218"/>
      <c r="L237" s="125"/>
      <c r="M237" s="124"/>
      <c r="N237" s="210"/>
      <c r="O237" s="108">
        <f t="shared" si="63"/>
        <v>32000</v>
      </c>
      <c r="P237" s="214">
        <f t="shared" si="64"/>
        <v>17800</v>
      </c>
    </row>
    <row r="238" spans="1:16" x14ac:dyDescent="0.25">
      <c r="A238" s="150" t="s">
        <v>65</v>
      </c>
      <c r="B238" s="275" t="s">
        <v>498</v>
      </c>
      <c r="C238" s="108"/>
      <c r="D238" s="122"/>
      <c r="E238" s="120">
        <v>39000</v>
      </c>
      <c r="F238" s="147">
        <v>19000</v>
      </c>
      <c r="G238" s="108"/>
      <c r="H238" s="214"/>
      <c r="I238" s="108"/>
      <c r="J238" s="147"/>
      <c r="K238" s="218"/>
      <c r="L238" s="125"/>
      <c r="M238" s="124"/>
      <c r="N238" s="210"/>
      <c r="O238" s="108">
        <f t="shared" ref="O238" si="84">SUM(C238,E238,G238,I238,K238,M238)</f>
        <v>39000</v>
      </c>
      <c r="P238" s="214">
        <f t="shared" ref="P238" si="85">SUM(D238,F238,H238,J238,L238,N238)</f>
        <v>19000</v>
      </c>
    </row>
    <row r="239" spans="1:16" ht="18" customHeight="1" x14ac:dyDescent="0.25">
      <c r="A239" s="150" t="s">
        <v>65</v>
      </c>
      <c r="B239" s="181" t="s">
        <v>381</v>
      </c>
      <c r="C239" s="108"/>
      <c r="D239" s="122"/>
      <c r="E239" s="120">
        <v>410300</v>
      </c>
      <c r="F239" s="147">
        <v>393500</v>
      </c>
      <c r="G239" s="108"/>
      <c r="H239" s="214"/>
      <c r="I239" s="108"/>
      <c r="J239" s="147"/>
      <c r="K239" s="184"/>
      <c r="L239" s="125"/>
      <c r="M239" s="124"/>
      <c r="N239" s="210"/>
      <c r="O239" s="108">
        <f t="shared" si="63"/>
        <v>410300</v>
      </c>
      <c r="P239" s="214">
        <f t="shared" si="64"/>
        <v>393500</v>
      </c>
    </row>
    <row r="240" spans="1:16" ht="26.4" x14ac:dyDescent="0.25">
      <c r="A240" s="150" t="s">
        <v>65</v>
      </c>
      <c r="B240" s="181" t="s">
        <v>273</v>
      </c>
      <c r="C240" s="108"/>
      <c r="D240" s="122"/>
      <c r="E240" s="120">
        <v>23500</v>
      </c>
      <c r="F240" s="147">
        <v>23100</v>
      </c>
      <c r="G240" s="108"/>
      <c r="H240" s="214"/>
      <c r="I240" s="108"/>
      <c r="J240" s="147"/>
      <c r="K240" s="184"/>
      <c r="L240" s="125"/>
      <c r="M240" s="124"/>
      <c r="N240" s="210"/>
      <c r="O240" s="108">
        <f t="shared" si="63"/>
        <v>23500</v>
      </c>
      <c r="P240" s="214">
        <f t="shared" si="64"/>
        <v>23100</v>
      </c>
    </row>
    <row r="241" spans="1:16" x14ac:dyDescent="0.25">
      <c r="A241" s="150" t="s">
        <v>65</v>
      </c>
      <c r="B241" s="174" t="s">
        <v>355</v>
      </c>
      <c r="C241" s="106">
        <v>1300</v>
      </c>
      <c r="D241" s="131"/>
      <c r="E241" s="130">
        <v>13100</v>
      </c>
      <c r="F241" s="178">
        <v>400</v>
      </c>
      <c r="G241" s="106"/>
      <c r="H241" s="217"/>
      <c r="I241" s="106"/>
      <c r="J241" s="178"/>
      <c r="K241" s="218"/>
      <c r="L241" s="131"/>
      <c r="M241" s="106"/>
      <c r="N241" s="208"/>
      <c r="O241" s="106">
        <f t="shared" si="63"/>
        <v>14400</v>
      </c>
      <c r="P241" s="217">
        <f t="shared" si="64"/>
        <v>400</v>
      </c>
    </row>
    <row r="242" spans="1:16" ht="19.8" customHeight="1" x14ac:dyDescent="0.25">
      <c r="A242" s="150" t="s">
        <v>65</v>
      </c>
      <c r="B242" s="174" t="s">
        <v>353</v>
      </c>
      <c r="C242" s="106">
        <v>5300</v>
      </c>
      <c r="D242" s="131"/>
      <c r="E242" s="130">
        <v>30600</v>
      </c>
      <c r="F242" s="178">
        <v>900</v>
      </c>
      <c r="G242" s="106"/>
      <c r="H242" s="217"/>
      <c r="I242" s="106"/>
      <c r="J242" s="178"/>
      <c r="K242" s="126"/>
      <c r="L242" s="131"/>
      <c r="M242" s="106"/>
      <c r="N242" s="208"/>
      <c r="O242" s="106">
        <f t="shared" si="63"/>
        <v>35900</v>
      </c>
      <c r="P242" s="217">
        <f t="shared" si="64"/>
        <v>900</v>
      </c>
    </row>
    <row r="243" spans="1:16" x14ac:dyDescent="0.25">
      <c r="A243" s="150" t="s">
        <v>65</v>
      </c>
      <c r="B243" s="174" t="s">
        <v>226</v>
      </c>
      <c r="C243" s="106">
        <v>7800</v>
      </c>
      <c r="D243" s="131"/>
      <c r="E243" s="130">
        <v>63600</v>
      </c>
      <c r="F243" s="178">
        <v>2000</v>
      </c>
      <c r="G243" s="106"/>
      <c r="H243" s="217"/>
      <c r="I243" s="106"/>
      <c r="J243" s="178"/>
      <c r="K243" s="160"/>
      <c r="L243" s="131"/>
      <c r="M243" s="106"/>
      <c r="N243" s="208"/>
      <c r="O243" s="106">
        <f t="shared" si="63"/>
        <v>71400</v>
      </c>
      <c r="P243" s="217">
        <f t="shared" si="64"/>
        <v>2000</v>
      </c>
    </row>
    <row r="244" spans="1:16" ht="15.6" customHeight="1" x14ac:dyDescent="0.25">
      <c r="A244" s="150" t="s">
        <v>65</v>
      </c>
      <c r="B244" s="174" t="s">
        <v>228</v>
      </c>
      <c r="C244" s="106">
        <v>5900</v>
      </c>
      <c r="D244" s="131"/>
      <c r="E244" s="130">
        <v>61600</v>
      </c>
      <c r="F244" s="178">
        <v>1900</v>
      </c>
      <c r="G244" s="106"/>
      <c r="H244" s="217"/>
      <c r="I244" s="106"/>
      <c r="J244" s="178"/>
      <c r="K244" s="106"/>
      <c r="L244" s="131"/>
      <c r="M244" s="106"/>
      <c r="N244" s="208"/>
      <c r="O244" s="106">
        <f t="shared" si="63"/>
        <v>67500</v>
      </c>
      <c r="P244" s="217">
        <f t="shared" si="64"/>
        <v>1900</v>
      </c>
    </row>
    <row r="245" spans="1:16" ht="17.399999999999999" customHeight="1" x14ac:dyDescent="0.25">
      <c r="A245" s="150" t="s">
        <v>65</v>
      </c>
      <c r="B245" s="174" t="s">
        <v>304</v>
      </c>
      <c r="C245" s="106">
        <v>4200</v>
      </c>
      <c r="D245" s="131"/>
      <c r="E245" s="130">
        <v>44200</v>
      </c>
      <c r="F245" s="178">
        <v>1300</v>
      </c>
      <c r="G245" s="106"/>
      <c r="H245" s="217"/>
      <c r="I245" s="106"/>
      <c r="J245" s="178"/>
      <c r="K245" s="106"/>
      <c r="L245" s="131"/>
      <c r="M245" s="106"/>
      <c r="N245" s="208"/>
      <c r="O245" s="106">
        <f t="shared" si="63"/>
        <v>48400</v>
      </c>
      <c r="P245" s="217">
        <f t="shared" si="64"/>
        <v>1300</v>
      </c>
    </row>
    <row r="246" spans="1:16" x14ac:dyDescent="0.25">
      <c r="A246" s="150" t="s">
        <v>65</v>
      </c>
      <c r="B246" s="174" t="s">
        <v>327</v>
      </c>
      <c r="C246" s="106">
        <v>2100</v>
      </c>
      <c r="D246" s="131"/>
      <c r="E246" s="130">
        <v>22300</v>
      </c>
      <c r="F246" s="178">
        <v>700</v>
      </c>
      <c r="G246" s="106"/>
      <c r="H246" s="217"/>
      <c r="I246" s="106"/>
      <c r="J246" s="178"/>
      <c r="K246" s="106"/>
      <c r="L246" s="131"/>
      <c r="M246" s="106"/>
      <c r="N246" s="208"/>
      <c r="O246" s="106">
        <f t="shared" si="63"/>
        <v>24400</v>
      </c>
      <c r="P246" s="217">
        <f t="shared" si="64"/>
        <v>700</v>
      </c>
    </row>
    <row r="247" spans="1:16" x14ac:dyDescent="0.25">
      <c r="A247" s="150" t="s">
        <v>65</v>
      </c>
      <c r="B247" s="174" t="s">
        <v>235</v>
      </c>
      <c r="C247" s="106">
        <v>7700</v>
      </c>
      <c r="D247" s="131"/>
      <c r="E247" s="130">
        <v>89100</v>
      </c>
      <c r="F247" s="178">
        <v>2700</v>
      </c>
      <c r="G247" s="106"/>
      <c r="H247" s="217"/>
      <c r="I247" s="106"/>
      <c r="J247" s="178"/>
      <c r="K247" s="106"/>
      <c r="L247" s="131"/>
      <c r="M247" s="106"/>
      <c r="N247" s="208"/>
      <c r="O247" s="106">
        <f t="shared" si="63"/>
        <v>96800</v>
      </c>
      <c r="P247" s="217">
        <f t="shared" si="64"/>
        <v>2700</v>
      </c>
    </row>
    <row r="248" spans="1:16" x14ac:dyDescent="0.25">
      <c r="A248" s="150" t="s">
        <v>65</v>
      </c>
      <c r="B248" s="174" t="s">
        <v>237</v>
      </c>
      <c r="C248" s="106">
        <v>5000</v>
      </c>
      <c r="D248" s="131"/>
      <c r="E248" s="130">
        <v>64500</v>
      </c>
      <c r="F248" s="178">
        <v>2000</v>
      </c>
      <c r="G248" s="106"/>
      <c r="H248" s="217"/>
      <c r="I248" s="106"/>
      <c r="J248" s="178"/>
      <c r="K248" s="106"/>
      <c r="L248" s="131"/>
      <c r="M248" s="106"/>
      <c r="N248" s="208"/>
      <c r="O248" s="106">
        <f t="shared" si="63"/>
        <v>69500</v>
      </c>
      <c r="P248" s="217">
        <f t="shared" si="64"/>
        <v>2000</v>
      </c>
    </row>
    <row r="249" spans="1:16" x14ac:dyDescent="0.25">
      <c r="A249" s="150" t="s">
        <v>65</v>
      </c>
      <c r="B249" s="174" t="s">
        <v>239</v>
      </c>
      <c r="C249" s="106">
        <v>3200</v>
      </c>
      <c r="D249" s="131"/>
      <c r="E249" s="130">
        <v>22100</v>
      </c>
      <c r="F249" s="178">
        <v>700</v>
      </c>
      <c r="G249" s="106"/>
      <c r="H249" s="217"/>
      <c r="I249" s="106"/>
      <c r="J249" s="178"/>
      <c r="K249" s="106"/>
      <c r="L249" s="131"/>
      <c r="M249" s="106"/>
      <c r="N249" s="208"/>
      <c r="O249" s="106">
        <f t="shared" si="63"/>
        <v>25300</v>
      </c>
      <c r="P249" s="217">
        <f t="shared" si="64"/>
        <v>700</v>
      </c>
    </row>
    <row r="250" spans="1:16" x14ac:dyDescent="0.25">
      <c r="A250" s="150"/>
      <c r="B250" s="174" t="s">
        <v>313</v>
      </c>
      <c r="C250" s="106">
        <f t="shared" ref="C250:N250" si="86">SUM(C251:C253)</f>
        <v>58900</v>
      </c>
      <c r="D250" s="131">
        <f t="shared" si="86"/>
        <v>52100</v>
      </c>
      <c r="E250" s="106">
        <f t="shared" si="86"/>
        <v>121059</v>
      </c>
      <c r="F250" s="131">
        <f t="shared" si="86"/>
        <v>91213</v>
      </c>
      <c r="G250" s="106">
        <f t="shared" si="86"/>
        <v>0</v>
      </c>
      <c r="H250" s="219">
        <f t="shared" si="86"/>
        <v>0</v>
      </c>
      <c r="I250" s="106">
        <f t="shared" si="86"/>
        <v>0</v>
      </c>
      <c r="J250" s="131">
        <f t="shared" si="86"/>
        <v>0</v>
      </c>
      <c r="K250" s="106">
        <f t="shared" si="86"/>
        <v>0</v>
      </c>
      <c r="L250" s="131">
        <f t="shared" si="86"/>
        <v>0</v>
      </c>
      <c r="M250" s="106">
        <f t="shared" si="86"/>
        <v>0</v>
      </c>
      <c r="N250" s="219">
        <f t="shared" si="86"/>
        <v>0</v>
      </c>
      <c r="O250" s="106">
        <f t="shared" si="63"/>
        <v>179959</v>
      </c>
      <c r="P250" s="217">
        <f t="shared" si="64"/>
        <v>143313</v>
      </c>
    </row>
    <row r="251" spans="1:16" x14ac:dyDescent="0.25">
      <c r="A251" s="150" t="s">
        <v>65</v>
      </c>
      <c r="B251" s="146" t="s">
        <v>274</v>
      </c>
      <c r="C251" s="106"/>
      <c r="D251" s="122"/>
      <c r="E251" s="120">
        <v>10600</v>
      </c>
      <c r="F251" s="147">
        <v>300</v>
      </c>
      <c r="G251" s="108"/>
      <c r="H251" s="214"/>
      <c r="I251" s="106"/>
      <c r="J251" s="147"/>
      <c r="K251" s="106"/>
      <c r="L251" s="122"/>
      <c r="M251" s="108"/>
      <c r="N251" s="207"/>
      <c r="O251" s="108">
        <f t="shared" si="63"/>
        <v>10600</v>
      </c>
      <c r="P251" s="214">
        <f t="shared" si="64"/>
        <v>300</v>
      </c>
    </row>
    <row r="252" spans="1:16" ht="39.6" x14ac:dyDescent="0.25">
      <c r="A252" s="150" t="s">
        <v>65</v>
      </c>
      <c r="B252" s="181" t="s">
        <v>470</v>
      </c>
      <c r="C252" s="106"/>
      <c r="D252" s="122"/>
      <c r="E252" s="120">
        <v>3159</v>
      </c>
      <c r="F252" s="147">
        <v>3113</v>
      </c>
      <c r="G252" s="108"/>
      <c r="H252" s="214"/>
      <c r="I252" s="106"/>
      <c r="J252" s="147"/>
      <c r="K252" s="106"/>
      <c r="L252" s="122"/>
      <c r="M252" s="108"/>
      <c r="N252" s="207"/>
      <c r="O252" s="108">
        <f t="shared" si="63"/>
        <v>3159</v>
      </c>
      <c r="P252" s="214">
        <f t="shared" si="64"/>
        <v>3113</v>
      </c>
    </row>
    <row r="253" spans="1:16" ht="26.4" x14ac:dyDescent="0.25">
      <c r="A253" s="150" t="s">
        <v>65</v>
      </c>
      <c r="B253" s="181" t="s">
        <v>273</v>
      </c>
      <c r="C253" s="108">
        <v>58900</v>
      </c>
      <c r="D253" s="122">
        <v>52100</v>
      </c>
      <c r="E253" s="120">
        <v>107300</v>
      </c>
      <c r="F253" s="147">
        <v>87800</v>
      </c>
      <c r="G253" s="108"/>
      <c r="H253" s="214"/>
      <c r="I253" s="106"/>
      <c r="J253" s="147"/>
      <c r="K253" s="106"/>
      <c r="L253" s="122"/>
      <c r="M253" s="108"/>
      <c r="N253" s="207"/>
      <c r="O253" s="108">
        <f t="shared" si="63"/>
        <v>166200</v>
      </c>
      <c r="P253" s="214">
        <f t="shared" si="64"/>
        <v>139900</v>
      </c>
    </row>
    <row r="254" spans="1:16" x14ac:dyDescent="0.25">
      <c r="A254" s="150" t="s">
        <v>65</v>
      </c>
      <c r="B254" s="174" t="s">
        <v>305</v>
      </c>
      <c r="C254" s="106"/>
      <c r="D254" s="131"/>
      <c r="E254" s="130">
        <v>19500</v>
      </c>
      <c r="F254" s="178">
        <v>500</v>
      </c>
      <c r="G254" s="106"/>
      <c r="H254" s="217"/>
      <c r="I254" s="106"/>
      <c r="J254" s="178"/>
      <c r="K254" s="106"/>
      <c r="L254" s="131"/>
      <c r="M254" s="106"/>
      <c r="N254" s="208"/>
      <c r="O254" s="106">
        <f t="shared" si="63"/>
        <v>19500</v>
      </c>
      <c r="P254" s="217">
        <f t="shared" si="64"/>
        <v>500</v>
      </c>
    </row>
    <row r="255" spans="1:16" x14ac:dyDescent="0.25">
      <c r="A255" s="150"/>
      <c r="B255" s="174" t="s">
        <v>306</v>
      </c>
      <c r="C255" s="106">
        <f t="shared" ref="C255:N255" si="87">SUM(C256:C258)</f>
        <v>161500</v>
      </c>
      <c r="D255" s="131">
        <f t="shared" si="87"/>
        <v>155000</v>
      </c>
      <c r="E255" s="106">
        <f t="shared" si="87"/>
        <v>49949</v>
      </c>
      <c r="F255" s="131">
        <f t="shared" si="87"/>
        <v>22332</v>
      </c>
      <c r="G255" s="106">
        <f t="shared" si="87"/>
        <v>0</v>
      </c>
      <c r="H255" s="219">
        <f t="shared" si="87"/>
        <v>0</v>
      </c>
      <c r="I255" s="106">
        <f t="shared" si="87"/>
        <v>0</v>
      </c>
      <c r="J255" s="131">
        <f t="shared" si="87"/>
        <v>0</v>
      </c>
      <c r="K255" s="106">
        <f t="shared" si="87"/>
        <v>0</v>
      </c>
      <c r="L255" s="131">
        <f t="shared" si="87"/>
        <v>0</v>
      </c>
      <c r="M255" s="106">
        <f t="shared" si="87"/>
        <v>0</v>
      </c>
      <c r="N255" s="219">
        <f t="shared" si="87"/>
        <v>0</v>
      </c>
      <c r="O255" s="106">
        <f t="shared" si="63"/>
        <v>211449</v>
      </c>
      <c r="P255" s="217">
        <f t="shared" si="64"/>
        <v>177332</v>
      </c>
    </row>
    <row r="256" spans="1:16" x14ac:dyDescent="0.25">
      <c r="A256" s="150" t="s">
        <v>65</v>
      </c>
      <c r="B256" s="146" t="s">
        <v>274</v>
      </c>
      <c r="C256" s="106"/>
      <c r="D256" s="122"/>
      <c r="E256" s="120">
        <v>18100</v>
      </c>
      <c r="F256" s="147">
        <v>500</v>
      </c>
      <c r="G256" s="108"/>
      <c r="H256" s="214"/>
      <c r="I256" s="106"/>
      <c r="J256" s="147"/>
      <c r="K256" s="106"/>
      <c r="L256" s="122"/>
      <c r="M256" s="108"/>
      <c r="N256" s="207"/>
      <c r="O256" s="108">
        <f t="shared" si="63"/>
        <v>18100</v>
      </c>
      <c r="P256" s="214">
        <f t="shared" si="64"/>
        <v>500</v>
      </c>
    </row>
    <row r="257" spans="1:17" ht="39.6" x14ac:dyDescent="0.25">
      <c r="A257" s="150" t="s">
        <v>65</v>
      </c>
      <c r="B257" s="181" t="s">
        <v>470</v>
      </c>
      <c r="C257" s="106"/>
      <c r="D257" s="122"/>
      <c r="E257" s="120">
        <v>1149</v>
      </c>
      <c r="F257" s="147">
        <v>1132</v>
      </c>
      <c r="G257" s="139"/>
      <c r="H257" s="214"/>
      <c r="I257" s="106"/>
      <c r="J257" s="147"/>
      <c r="K257" s="106"/>
      <c r="L257" s="122"/>
      <c r="M257" s="139"/>
      <c r="N257" s="207"/>
      <c r="O257" s="108">
        <f t="shared" si="63"/>
        <v>1149</v>
      </c>
      <c r="P257" s="214">
        <f t="shared" si="64"/>
        <v>1132</v>
      </c>
    </row>
    <row r="258" spans="1:17" ht="27" thickBot="1" x14ac:dyDescent="0.3">
      <c r="A258" s="150" t="s">
        <v>65</v>
      </c>
      <c r="B258" s="181" t="s">
        <v>273</v>
      </c>
      <c r="C258" s="108">
        <v>161500</v>
      </c>
      <c r="D258" s="122">
        <v>155000</v>
      </c>
      <c r="E258" s="120">
        <v>30700</v>
      </c>
      <c r="F258" s="147">
        <v>20700</v>
      </c>
      <c r="G258" s="142"/>
      <c r="H258" s="214"/>
      <c r="I258" s="106"/>
      <c r="J258" s="147"/>
      <c r="K258" s="106"/>
      <c r="L258" s="122"/>
      <c r="M258" s="142"/>
      <c r="N258" s="207"/>
      <c r="O258" s="108">
        <f t="shared" si="63"/>
        <v>192200</v>
      </c>
      <c r="P258" s="214">
        <f t="shared" si="64"/>
        <v>175700</v>
      </c>
    </row>
    <row r="259" spans="1:17" ht="18" customHeight="1" thickBot="1" x14ac:dyDescent="0.3">
      <c r="A259" s="151"/>
      <c r="B259" s="152" t="s">
        <v>275</v>
      </c>
      <c r="C259" s="113">
        <f t="shared" ref="C259:P259" si="88">SUM(C196,C218,C223,C228,C241,C242,C243,C244,C245,C246,C247,C248,C249,C250,C254,C255)</f>
        <v>5778427</v>
      </c>
      <c r="D259" s="137">
        <f t="shared" si="88"/>
        <v>2440900</v>
      </c>
      <c r="E259" s="113">
        <f t="shared" si="88"/>
        <v>2275660.1</v>
      </c>
      <c r="F259" s="137">
        <f t="shared" si="88"/>
        <v>914865</v>
      </c>
      <c r="G259" s="113">
        <f t="shared" si="88"/>
        <v>350491.88</v>
      </c>
      <c r="H259" s="137">
        <f t="shared" si="88"/>
        <v>103000</v>
      </c>
      <c r="I259" s="113">
        <f t="shared" si="88"/>
        <v>804000</v>
      </c>
      <c r="J259" s="137">
        <f t="shared" si="88"/>
        <v>145000</v>
      </c>
      <c r="K259" s="113">
        <f t="shared" si="88"/>
        <v>0</v>
      </c>
      <c r="L259" s="137">
        <f t="shared" si="88"/>
        <v>0</v>
      </c>
      <c r="M259" s="113">
        <f t="shared" si="88"/>
        <v>2430240.1</v>
      </c>
      <c r="N259" s="137">
        <f t="shared" si="88"/>
        <v>2470.9699999999998</v>
      </c>
      <c r="O259" s="113">
        <f t="shared" si="88"/>
        <v>11638819.080000002</v>
      </c>
      <c r="P259" s="274">
        <f t="shared" si="88"/>
        <v>3606235.9699999997</v>
      </c>
      <c r="Q259" s="273"/>
    </row>
    <row r="260" spans="1:17" s="60" customFormat="1" ht="15.75" customHeight="1" thickBot="1" x14ac:dyDescent="0.3">
      <c r="A260" s="338" t="s">
        <v>276</v>
      </c>
      <c r="B260" s="333"/>
      <c r="C260" s="333"/>
      <c r="D260" s="333"/>
      <c r="E260" s="333"/>
      <c r="F260" s="333"/>
      <c r="G260" s="333"/>
      <c r="H260" s="333"/>
      <c r="I260" s="333"/>
      <c r="J260" s="333"/>
      <c r="K260" s="333"/>
      <c r="L260" s="333"/>
      <c r="M260" s="333"/>
      <c r="N260" s="333"/>
      <c r="O260" s="333"/>
      <c r="P260" s="334"/>
    </row>
    <row r="261" spans="1:17" ht="16.5" customHeight="1" x14ac:dyDescent="0.25">
      <c r="A261" s="154"/>
      <c r="B261" s="144" t="s">
        <v>125</v>
      </c>
      <c r="C261" s="123">
        <f t="shared" ref="C261:P261" si="89">SUM(C262:C265)</f>
        <v>112800</v>
      </c>
      <c r="D261" s="156">
        <f t="shared" si="89"/>
        <v>0</v>
      </c>
      <c r="E261" s="123">
        <f t="shared" si="89"/>
        <v>0</v>
      </c>
      <c r="F261" s="156">
        <f t="shared" si="89"/>
        <v>0</v>
      </c>
      <c r="G261" s="123">
        <f t="shared" si="89"/>
        <v>0</v>
      </c>
      <c r="H261" s="213">
        <f t="shared" si="89"/>
        <v>0</v>
      </c>
      <c r="I261" s="123">
        <f t="shared" si="89"/>
        <v>3000</v>
      </c>
      <c r="J261" s="156">
        <f t="shared" si="89"/>
        <v>0</v>
      </c>
      <c r="K261" s="123">
        <f t="shared" si="89"/>
        <v>0</v>
      </c>
      <c r="L261" s="156">
        <f t="shared" si="89"/>
        <v>0</v>
      </c>
      <c r="M261" s="123">
        <f t="shared" si="89"/>
        <v>13936</v>
      </c>
      <c r="N261" s="213">
        <f t="shared" si="89"/>
        <v>0</v>
      </c>
      <c r="O261" s="123">
        <f t="shared" si="89"/>
        <v>129736</v>
      </c>
      <c r="P261" s="156">
        <f t="shared" si="89"/>
        <v>0</v>
      </c>
    </row>
    <row r="262" spans="1:17" s="61" customFormat="1" ht="16.2" customHeight="1" x14ac:dyDescent="0.25">
      <c r="A262" s="150" t="s">
        <v>67</v>
      </c>
      <c r="B262" s="146" t="s">
        <v>300</v>
      </c>
      <c r="C262" s="108">
        <v>7000</v>
      </c>
      <c r="D262" s="140"/>
      <c r="E262" s="108"/>
      <c r="F262" s="140"/>
      <c r="G262" s="108"/>
      <c r="H262" s="214"/>
      <c r="I262" s="108"/>
      <c r="J262" s="140"/>
      <c r="K262" s="108"/>
      <c r="L262" s="140"/>
      <c r="M262" s="108"/>
      <c r="N262" s="214"/>
      <c r="O262" s="108">
        <f>SUM(C262,E262,G262,I262,K262,M262)</f>
        <v>7000</v>
      </c>
      <c r="P262" s="140">
        <f>SUM(D262,F262,H262,J262,L262,N262)</f>
        <v>0</v>
      </c>
    </row>
    <row r="263" spans="1:17" ht="13.5" customHeight="1" x14ac:dyDescent="0.25">
      <c r="A263" s="143" t="s">
        <v>67</v>
      </c>
      <c r="B263" s="167" t="s">
        <v>127</v>
      </c>
      <c r="C263" s="108">
        <v>12400</v>
      </c>
      <c r="D263" s="140"/>
      <c r="E263" s="108"/>
      <c r="F263" s="140"/>
      <c r="G263" s="108"/>
      <c r="H263" s="214"/>
      <c r="I263" s="108"/>
      <c r="J263" s="140"/>
      <c r="K263" s="108"/>
      <c r="L263" s="140"/>
      <c r="M263" s="108">
        <v>13936</v>
      </c>
      <c r="N263" s="214"/>
      <c r="O263" s="108">
        <f t="shared" ref="O263:O265" si="90">SUM(C263,E263,G263,I263,K263,M263)</f>
        <v>26336</v>
      </c>
      <c r="P263" s="140">
        <f t="shared" ref="P263:P265" si="91">SUM(D263,F263,H263,J263,L263,N263)</f>
        <v>0</v>
      </c>
    </row>
    <row r="264" spans="1:17" s="61" customFormat="1" ht="13.2" customHeight="1" x14ac:dyDescent="0.25">
      <c r="A264" s="150" t="s">
        <v>67</v>
      </c>
      <c r="B264" s="146" t="s">
        <v>516</v>
      </c>
      <c r="C264" s="108">
        <v>75000</v>
      </c>
      <c r="D264" s="140"/>
      <c r="E264" s="108"/>
      <c r="F264" s="140"/>
      <c r="G264" s="108"/>
      <c r="H264" s="214"/>
      <c r="I264" s="108">
        <v>3000</v>
      </c>
      <c r="J264" s="140"/>
      <c r="K264" s="108"/>
      <c r="L264" s="140"/>
      <c r="M264" s="108"/>
      <c r="N264" s="214"/>
      <c r="O264" s="108">
        <f t="shared" si="90"/>
        <v>78000</v>
      </c>
      <c r="P264" s="140">
        <f t="shared" si="91"/>
        <v>0</v>
      </c>
    </row>
    <row r="265" spans="1:17" s="61" customFormat="1" ht="15" customHeight="1" x14ac:dyDescent="0.25">
      <c r="A265" s="150" t="s">
        <v>67</v>
      </c>
      <c r="B265" s="146" t="s">
        <v>451</v>
      </c>
      <c r="C265" s="108">
        <v>18400</v>
      </c>
      <c r="D265" s="140"/>
      <c r="E265" s="108"/>
      <c r="F265" s="140"/>
      <c r="G265" s="108"/>
      <c r="H265" s="214"/>
      <c r="I265" s="108"/>
      <c r="J265" s="140"/>
      <c r="K265" s="108"/>
      <c r="L265" s="140"/>
      <c r="M265" s="108"/>
      <c r="N265" s="214"/>
      <c r="O265" s="108">
        <f t="shared" si="90"/>
        <v>18400</v>
      </c>
      <c r="P265" s="140">
        <f t="shared" si="91"/>
        <v>0</v>
      </c>
    </row>
    <row r="266" spans="1:17" ht="15" customHeight="1" x14ac:dyDescent="0.25">
      <c r="A266" s="157"/>
      <c r="B266" s="183" t="s">
        <v>483</v>
      </c>
      <c r="C266" s="106">
        <f t="shared" ref="C266:P266" si="92">SUM(C267:C268)</f>
        <v>0</v>
      </c>
      <c r="D266" s="131">
        <f t="shared" si="92"/>
        <v>0</v>
      </c>
      <c r="E266" s="106">
        <f t="shared" si="92"/>
        <v>278300</v>
      </c>
      <c r="F266" s="131">
        <f t="shared" si="92"/>
        <v>243500</v>
      </c>
      <c r="G266" s="106">
        <f t="shared" si="92"/>
        <v>0</v>
      </c>
      <c r="H266" s="131">
        <f t="shared" si="92"/>
        <v>0</v>
      </c>
      <c r="I266" s="106">
        <f t="shared" si="92"/>
        <v>5000</v>
      </c>
      <c r="J266" s="131">
        <f t="shared" si="92"/>
        <v>2000</v>
      </c>
      <c r="K266" s="106">
        <f t="shared" si="92"/>
        <v>0</v>
      </c>
      <c r="L266" s="131">
        <f t="shared" si="92"/>
        <v>0</v>
      </c>
      <c r="M266" s="106">
        <f t="shared" si="92"/>
        <v>4971.91</v>
      </c>
      <c r="N266" s="131">
        <f t="shared" si="92"/>
        <v>0</v>
      </c>
      <c r="O266" s="106">
        <f t="shared" si="92"/>
        <v>288271.90999999997</v>
      </c>
      <c r="P266" s="226">
        <f t="shared" si="92"/>
        <v>245500</v>
      </c>
    </row>
    <row r="267" spans="1:17" ht="15" customHeight="1" x14ac:dyDescent="0.25">
      <c r="A267" s="157" t="s">
        <v>67</v>
      </c>
      <c r="B267" s="176" t="s">
        <v>170</v>
      </c>
      <c r="C267" s="139"/>
      <c r="D267" s="122"/>
      <c r="E267" s="139"/>
      <c r="F267" s="122"/>
      <c r="G267" s="108"/>
      <c r="H267" s="214"/>
      <c r="I267" s="108">
        <v>5000</v>
      </c>
      <c r="J267" s="122">
        <v>2000</v>
      </c>
      <c r="K267" s="160"/>
      <c r="L267" s="131"/>
      <c r="M267" s="139">
        <v>4971.91</v>
      </c>
      <c r="N267" s="254"/>
      <c r="O267" s="108">
        <f>SUM(C267,E267,G267,I267,K267,M267)</f>
        <v>9971.91</v>
      </c>
      <c r="P267" s="140">
        <f>SUM(D267,F267,H267,J267,L267,N267)</f>
        <v>2000</v>
      </c>
    </row>
    <row r="268" spans="1:17" ht="15" customHeight="1" thickBot="1" x14ac:dyDescent="0.3">
      <c r="A268" s="157" t="s">
        <v>67</v>
      </c>
      <c r="B268" s="176" t="s">
        <v>101</v>
      </c>
      <c r="C268" s="108"/>
      <c r="D268" s="122"/>
      <c r="E268" s="139">
        <f>229100+49200</f>
        <v>278300</v>
      </c>
      <c r="F268" s="122">
        <v>243500</v>
      </c>
      <c r="G268" s="139"/>
      <c r="H268" s="254"/>
      <c r="I268" s="108"/>
      <c r="J268" s="122"/>
      <c r="K268" s="160"/>
      <c r="L268" s="255"/>
      <c r="M268" s="160"/>
      <c r="N268" s="219"/>
      <c r="O268" s="108">
        <f t="shared" ref="O268" si="93">SUM(C268,E268,G268,I268,K268,M268)</f>
        <v>278300</v>
      </c>
      <c r="P268" s="140">
        <f t="shared" ref="P268" si="94">SUM(D268,F268,H268,J268,L268,N268)</f>
        <v>243500</v>
      </c>
    </row>
    <row r="269" spans="1:17" ht="18" customHeight="1" thickBot="1" x14ac:dyDescent="0.3">
      <c r="A269" s="151"/>
      <c r="B269" s="152" t="s">
        <v>277</v>
      </c>
      <c r="C269" s="113">
        <f>SUM(C261+C266)</f>
        <v>112800</v>
      </c>
      <c r="D269" s="114">
        <f>SUM(D261,D266)</f>
        <v>0</v>
      </c>
      <c r="E269" s="113">
        <f>SUM(E261+E266)</f>
        <v>278300</v>
      </c>
      <c r="F269" s="114">
        <f>SUM(F261,F266)</f>
        <v>243500</v>
      </c>
      <c r="G269" s="113">
        <f>SUM(G261+G266)</f>
        <v>0</v>
      </c>
      <c r="H269" s="114">
        <f>SUM(H261,H266)</f>
        <v>0</v>
      </c>
      <c r="I269" s="113">
        <f>SUM(I261+I266)</f>
        <v>8000</v>
      </c>
      <c r="J269" s="114">
        <f>SUM(J261,J266)</f>
        <v>2000</v>
      </c>
      <c r="K269" s="113">
        <f>SUM(K261+K266)</f>
        <v>0</v>
      </c>
      <c r="L269" s="114">
        <f>SUM(L261,L266)</f>
        <v>0</v>
      </c>
      <c r="M269" s="113">
        <f>SUM(M261+M266)</f>
        <v>18907.91</v>
      </c>
      <c r="N269" s="114">
        <f>SUM(N261,N266)</f>
        <v>0</v>
      </c>
      <c r="O269" s="113">
        <f>SUM(O261+O266)</f>
        <v>418007.91</v>
      </c>
      <c r="P269" s="257">
        <f>SUM(P261,P266)</f>
        <v>245500</v>
      </c>
    </row>
    <row r="270" spans="1:17" s="60" customFormat="1" ht="15.75" customHeight="1" thickBot="1" x14ac:dyDescent="0.3">
      <c r="A270" s="333" t="s">
        <v>283</v>
      </c>
      <c r="B270" s="333"/>
      <c r="C270" s="333"/>
      <c r="D270" s="333"/>
      <c r="E270" s="333"/>
      <c r="F270" s="333"/>
      <c r="G270" s="333"/>
      <c r="H270" s="333"/>
      <c r="I270" s="333"/>
      <c r="J270" s="333"/>
      <c r="K270" s="333"/>
      <c r="L270" s="333"/>
      <c r="M270" s="333"/>
      <c r="N270" s="333"/>
      <c r="O270" s="333"/>
      <c r="P270" s="334"/>
    </row>
    <row r="271" spans="1:17" ht="16.5" customHeight="1" x14ac:dyDescent="0.25">
      <c r="A271" s="154"/>
      <c r="B271" s="144" t="s">
        <v>125</v>
      </c>
      <c r="C271" s="123">
        <f t="shared" ref="C271:P271" si="95">SUM(C272:C283)</f>
        <v>611273</v>
      </c>
      <c r="D271" s="259">
        <f t="shared" si="95"/>
        <v>0</v>
      </c>
      <c r="E271" s="123">
        <f t="shared" si="95"/>
        <v>360000</v>
      </c>
      <c r="F271" s="156">
        <f t="shared" si="95"/>
        <v>3601.77</v>
      </c>
      <c r="G271" s="123">
        <f t="shared" si="95"/>
        <v>66384.62</v>
      </c>
      <c r="H271" s="209">
        <f t="shared" si="95"/>
        <v>0</v>
      </c>
      <c r="I271" s="123">
        <f t="shared" si="95"/>
        <v>2200</v>
      </c>
      <c r="J271" s="259">
        <f t="shared" si="95"/>
        <v>0</v>
      </c>
      <c r="K271" s="123">
        <f t="shared" si="95"/>
        <v>0</v>
      </c>
      <c r="L271" s="156">
        <f t="shared" si="95"/>
        <v>0</v>
      </c>
      <c r="M271" s="123">
        <f t="shared" si="95"/>
        <v>0</v>
      </c>
      <c r="N271" s="209">
        <f t="shared" si="95"/>
        <v>0</v>
      </c>
      <c r="O271" s="123">
        <f t="shared" si="95"/>
        <v>1039857.62</v>
      </c>
      <c r="P271" s="156">
        <f t="shared" si="95"/>
        <v>3601.77</v>
      </c>
    </row>
    <row r="272" spans="1:17" s="61" customFormat="1" ht="16.5" customHeight="1" x14ac:dyDescent="0.25">
      <c r="A272" s="150" t="s">
        <v>64</v>
      </c>
      <c r="B272" s="176" t="s">
        <v>279</v>
      </c>
      <c r="C272" s="108">
        <v>600</v>
      </c>
      <c r="D272" s="121"/>
      <c r="E272" s="108"/>
      <c r="F272" s="140"/>
      <c r="G272" s="108"/>
      <c r="H272" s="207"/>
      <c r="I272" s="108"/>
      <c r="J272" s="121"/>
      <c r="K272" s="108"/>
      <c r="L272" s="140"/>
      <c r="M272" s="108"/>
      <c r="N272" s="207"/>
      <c r="O272" s="108">
        <f>SUM(C272,E272,G272,I272,K272,M272)</f>
        <v>600</v>
      </c>
      <c r="P272" s="140">
        <f>SUM(D272,F272,H272,J272,L272,N272)</f>
        <v>0</v>
      </c>
    </row>
    <row r="273" spans="1:16" s="61" customFormat="1" ht="13.5" customHeight="1" x14ac:dyDescent="0.25">
      <c r="A273" s="150" t="s">
        <v>64</v>
      </c>
      <c r="B273" s="176" t="s">
        <v>280</v>
      </c>
      <c r="C273" s="108">
        <f>30600-3500+47073+15000</f>
        <v>89173</v>
      </c>
      <c r="D273" s="121"/>
      <c r="E273" s="108">
        <v>155000</v>
      </c>
      <c r="F273" s="140"/>
      <c r="G273" s="108"/>
      <c r="H273" s="207"/>
      <c r="I273" s="108"/>
      <c r="J273" s="121"/>
      <c r="K273" s="108"/>
      <c r="L273" s="140"/>
      <c r="M273" s="108"/>
      <c r="N273" s="207"/>
      <c r="O273" s="108">
        <f t="shared" ref="O273:O274" si="96">SUM(C273,E273,G273,I273,K273,M273)</f>
        <v>244173</v>
      </c>
      <c r="P273" s="140">
        <f t="shared" ref="P273:P274" si="97">SUM(D273,F273,H273,J273,L273,N273)</f>
        <v>0</v>
      </c>
    </row>
    <row r="274" spans="1:16" s="61" customFormat="1" ht="13.5" customHeight="1" x14ac:dyDescent="0.25">
      <c r="A274" s="150" t="s">
        <v>64</v>
      </c>
      <c r="B274" s="176" t="s">
        <v>444</v>
      </c>
      <c r="C274" s="108"/>
      <c r="D274" s="121"/>
      <c r="E274" s="108">
        <v>64800</v>
      </c>
      <c r="F274" s="140"/>
      <c r="G274" s="108"/>
      <c r="H274" s="207"/>
      <c r="I274" s="108"/>
      <c r="J274" s="121"/>
      <c r="K274" s="108"/>
      <c r="L274" s="140"/>
      <c r="M274" s="108"/>
      <c r="N274" s="207"/>
      <c r="O274" s="108">
        <f t="shared" si="96"/>
        <v>64800</v>
      </c>
      <c r="P274" s="140">
        <f t="shared" si="97"/>
        <v>0</v>
      </c>
    </row>
    <row r="275" spans="1:16" s="61" customFormat="1" ht="24" customHeight="1" x14ac:dyDescent="0.25">
      <c r="A275" s="150" t="s">
        <v>64</v>
      </c>
      <c r="B275" s="146" t="s">
        <v>369</v>
      </c>
      <c r="C275" s="108">
        <v>25000</v>
      </c>
      <c r="D275" s="121"/>
      <c r="E275" s="108"/>
      <c r="F275" s="140"/>
      <c r="G275" s="108"/>
      <c r="H275" s="207"/>
      <c r="I275" s="108"/>
      <c r="J275" s="121"/>
      <c r="K275" s="108"/>
      <c r="L275" s="140"/>
      <c r="M275" s="108"/>
      <c r="N275" s="207"/>
      <c r="O275" s="108">
        <f t="shared" ref="O275:O307" si="98">SUM(C275,E275,G275,I275,K275,M275)</f>
        <v>25000</v>
      </c>
      <c r="P275" s="140">
        <f t="shared" ref="P275:P307" si="99">SUM(D275,F275,H275,J275,L275,N275)</f>
        <v>0</v>
      </c>
    </row>
    <row r="276" spans="1:16" s="61" customFormat="1" ht="16.5" customHeight="1" x14ac:dyDescent="0.25">
      <c r="A276" s="150" t="s">
        <v>64</v>
      </c>
      <c r="B276" s="176" t="s">
        <v>170</v>
      </c>
      <c r="C276" s="108">
        <v>12900</v>
      </c>
      <c r="D276" s="121"/>
      <c r="E276" s="108"/>
      <c r="F276" s="140"/>
      <c r="G276" s="108"/>
      <c r="H276" s="207"/>
      <c r="I276" s="108"/>
      <c r="J276" s="121"/>
      <c r="K276" s="108"/>
      <c r="L276" s="140"/>
      <c r="M276" s="108"/>
      <c r="N276" s="207"/>
      <c r="O276" s="108">
        <f t="shared" si="98"/>
        <v>12900</v>
      </c>
      <c r="P276" s="140">
        <f t="shared" si="99"/>
        <v>0</v>
      </c>
    </row>
    <row r="277" spans="1:16" s="61" customFormat="1" ht="24.75" customHeight="1" x14ac:dyDescent="0.25">
      <c r="A277" s="150" t="s">
        <v>64</v>
      </c>
      <c r="B277" s="146" t="s">
        <v>453</v>
      </c>
      <c r="C277" s="108">
        <v>10000</v>
      </c>
      <c r="D277" s="121"/>
      <c r="E277" s="108"/>
      <c r="F277" s="140"/>
      <c r="G277" s="108"/>
      <c r="H277" s="207"/>
      <c r="I277" s="108"/>
      <c r="J277" s="121"/>
      <c r="K277" s="108"/>
      <c r="L277" s="140"/>
      <c r="M277" s="108"/>
      <c r="N277" s="207"/>
      <c r="O277" s="108">
        <f t="shared" si="98"/>
        <v>10000</v>
      </c>
      <c r="P277" s="140">
        <f t="shared" si="99"/>
        <v>0</v>
      </c>
    </row>
    <row r="278" spans="1:16" s="61" customFormat="1" ht="24.75" customHeight="1" x14ac:dyDescent="0.25">
      <c r="A278" s="150" t="s">
        <v>64</v>
      </c>
      <c r="B278" s="182" t="s">
        <v>494</v>
      </c>
      <c r="C278" s="108"/>
      <c r="D278" s="121"/>
      <c r="E278" s="108"/>
      <c r="F278" s="140"/>
      <c r="G278" s="108">
        <v>55335.76</v>
      </c>
      <c r="H278" s="207"/>
      <c r="I278" s="108"/>
      <c r="J278" s="121"/>
      <c r="K278" s="108"/>
      <c r="L278" s="140"/>
      <c r="M278" s="108"/>
      <c r="N278" s="207"/>
      <c r="O278" s="108">
        <f t="shared" si="98"/>
        <v>55335.76</v>
      </c>
      <c r="P278" s="140">
        <f t="shared" si="99"/>
        <v>0</v>
      </c>
    </row>
    <row r="279" spans="1:16" s="61" customFormat="1" ht="18.600000000000001" customHeight="1" x14ac:dyDescent="0.25">
      <c r="A279" s="150" t="s">
        <v>64</v>
      </c>
      <c r="B279" s="182" t="s">
        <v>519</v>
      </c>
      <c r="C279" s="108">
        <v>5000</v>
      </c>
      <c r="D279" s="121"/>
      <c r="E279" s="108"/>
      <c r="F279" s="140"/>
      <c r="G279" s="108"/>
      <c r="H279" s="207"/>
      <c r="I279" s="108"/>
      <c r="J279" s="121"/>
      <c r="K279" s="108"/>
      <c r="L279" s="140"/>
      <c r="M279" s="108"/>
      <c r="N279" s="207"/>
      <c r="O279" s="108">
        <f t="shared" si="98"/>
        <v>5000</v>
      </c>
      <c r="P279" s="140">
        <f t="shared" si="99"/>
        <v>0</v>
      </c>
    </row>
    <row r="280" spans="1:16" s="61" customFormat="1" ht="15.6" customHeight="1" x14ac:dyDescent="0.25">
      <c r="A280" s="150" t="s">
        <v>64</v>
      </c>
      <c r="B280" s="182" t="s">
        <v>361</v>
      </c>
      <c r="C280" s="108">
        <v>13600</v>
      </c>
      <c r="D280" s="121"/>
      <c r="E280" s="260"/>
      <c r="F280" s="140"/>
      <c r="G280" s="108"/>
      <c r="H280" s="207"/>
      <c r="I280" s="108"/>
      <c r="J280" s="121"/>
      <c r="K280" s="108"/>
      <c r="L280" s="140"/>
      <c r="M280" s="108"/>
      <c r="N280" s="207"/>
      <c r="O280" s="108">
        <f t="shared" si="98"/>
        <v>13600</v>
      </c>
      <c r="P280" s="140">
        <f t="shared" si="99"/>
        <v>0</v>
      </c>
    </row>
    <row r="281" spans="1:16" s="61" customFormat="1" ht="24.75" customHeight="1" x14ac:dyDescent="0.25">
      <c r="A281" s="150" t="s">
        <v>64</v>
      </c>
      <c r="B281" s="182" t="s">
        <v>442</v>
      </c>
      <c r="C281" s="108"/>
      <c r="D281" s="121"/>
      <c r="E281" s="108"/>
      <c r="F281" s="140"/>
      <c r="G281" s="108">
        <v>11048.86</v>
      </c>
      <c r="H281" s="207"/>
      <c r="I281" s="108"/>
      <c r="J281" s="121"/>
      <c r="K281" s="108"/>
      <c r="L281" s="140"/>
      <c r="M281" s="108"/>
      <c r="N281" s="207"/>
      <c r="O281" s="108">
        <f t="shared" si="98"/>
        <v>11048.86</v>
      </c>
      <c r="P281" s="140">
        <f t="shared" si="99"/>
        <v>0</v>
      </c>
    </row>
    <row r="282" spans="1:16" s="61" customFormat="1" ht="17.25" customHeight="1" x14ac:dyDescent="0.25">
      <c r="A282" s="150" t="s">
        <v>64</v>
      </c>
      <c r="B282" s="182" t="s">
        <v>441</v>
      </c>
      <c r="C282" s="108"/>
      <c r="D282" s="121"/>
      <c r="E282" s="108">
        <v>121800</v>
      </c>
      <c r="F282" s="140">
        <v>3601.77</v>
      </c>
      <c r="G282" s="108"/>
      <c r="H282" s="207"/>
      <c r="I282" s="108"/>
      <c r="J282" s="121"/>
      <c r="K282" s="108"/>
      <c r="L282" s="140"/>
      <c r="M282" s="108"/>
      <c r="N282" s="207"/>
      <c r="O282" s="108">
        <f t="shared" si="98"/>
        <v>121800</v>
      </c>
      <c r="P282" s="140">
        <f t="shared" si="99"/>
        <v>3601.77</v>
      </c>
    </row>
    <row r="283" spans="1:16" s="61" customFormat="1" ht="25.5" customHeight="1" x14ac:dyDescent="0.25">
      <c r="A283" s="150" t="s">
        <v>64</v>
      </c>
      <c r="B283" s="182" t="s">
        <v>383</v>
      </c>
      <c r="C283" s="108">
        <v>455000</v>
      </c>
      <c r="D283" s="121"/>
      <c r="E283" s="108">
        <v>18400</v>
      </c>
      <c r="F283" s="140"/>
      <c r="G283" s="108"/>
      <c r="H283" s="207"/>
      <c r="I283" s="108">
        <v>2200</v>
      </c>
      <c r="J283" s="121"/>
      <c r="K283" s="108"/>
      <c r="L283" s="140"/>
      <c r="M283" s="108"/>
      <c r="N283" s="207"/>
      <c r="O283" s="108">
        <f t="shared" si="98"/>
        <v>475600</v>
      </c>
      <c r="P283" s="140">
        <f t="shared" si="99"/>
        <v>0</v>
      </c>
    </row>
    <row r="284" spans="1:16" x14ac:dyDescent="0.25">
      <c r="A284" s="150"/>
      <c r="B284" s="174" t="s">
        <v>356</v>
      </c>
      <c r="C284" s="106">
        <f t="shared" ref="C284:P284" si="100">SUM(C285:C287)</f>
        <v>285400</v>
      </c>
      <c r="D284" s="178">
        <f t="shared" si="100"/>
        <v>173000</v>
      </c>
      <c r="E284" s="106">
        <f t="shared" si="100"/>
        <v>797800</v>
      </c>
      <c r="F284" s="131">
        <f t="shared" si="100"/>
        <v>772450</v>
      </c>
      <c r="G284" s="106">
        <f t="shared" si="100"/>
        <v>0</v>
      </c>
      <c r="H284" s="224">
        <f t="shared" si="100"/>
        <v>0</v>
      </c>
      <c r="I284" s="106">
        <f t="shared" si="100"/>
        <v>3100</v>
      </c>
      <c r="J284" s="178">
        <f t="shared" si="100"/>
        <v>0</v>
      </c>
      <c r="K284" s="106">
        <f t="shared" si="100"/>
        <v>0</v>
      </c>
      <c r="L284" s="131">
        <f t="shared" si="100"/>
        <v>0</v>
      </c>
      <c r="M284" s="106">
        <f t="shared" si="100"/>
        <v>1783.43</v>
      </c>
      <c r="N284" s="224">
        <f t="shared" si="100"/>
        <v>0</v>
      </c>
      <c r="O284" s="106">
        <f t="shared" si="100"/>
        <v>1088083.43</v>
      </c>
      <c r="P284" s="131">
        <f t="shared" si="100"/>
        <v>945450</v>
      </c>
    </row>
    <row r="285" spans="1:16" x14ac:dyDescent="0.25">
      <c r="A285" s="150" t="s">
        <v>64</v>
      </c>
      <c r="B285" s="146" t="s">
        <v>280</v>
      </c>
      <c r="C285" s="108"/>
      <c r="D285" s="147"/>
      <c r="E285" s="108">
        <f>795300+2500</f>
        <v>797800</v>
      </c>
      <c r="F285" s="122">
        <f>770000+2450</f>
        <v>772450</v>
      </c>
      <c r="G285" s="108"/>
      <c r="H285" s="207"/>
      <c r="I285" s="108"/>
      <c r="J285" s="147"/>
      <c r="K285" s="108"/>
      <c r="L285" s="122"/>
      <c r="M285" s="108"/>
      <c r="N285" s="207"/>
      <c r="O285" s="108">
        <f t="shared" si="98"/>
        <v>797800</v>
      </c>
      <c r="P285" s="140">
        <f t="shared" si="99"/>
        <v>772450</v>
      </c>
    </row>
    <row r="286" spans="1:16" ht="26.4" x14ac:dyDescent="0.25">
      <c r="A286" s="150" t="s">
        <v>64</v>
      </c>
      <c r="B286" s="146" t="s">
        <v>307</v>
      </c>
      <c r="C286" s="108">
        <f>282600+2800</f>
        <v>285400</v>
      </c>
      <c r="D286" s="147">
        <v>173000</v>
      </c>
      <c r="E286" s="108"/>
      <c r="F286" s="122"/>
      <c r="G286" s="108"/>
      <c r="H286" s="207"/>
      <c r="I286" s="108"/>
      <c r="J286" s="147"/>
      <c r="K286" s="108"/>
      <c r="L286" s="122"/>
      <c r="M286" s="108"/>
      <c r="N286" s="207"/>
      <c r="O286" s="108">
        <f t="shared" si="98"/>
        <v>285400</v>
      </c>
      <c r="P286" s="140">
        <f t="shared" si="99"/>
        <v>173000</v>
      </c>
    </row>
    <row r="287" spans="1:16" x14ac:dyDescent="0.25">
      <c r="A287" s="150" t="s">
        <v>64</v>
      </c>
      <c r="B287" s="146" t="s">
        <v>281</v>
      </c>
      <c r="C287" s="108"/>
      <c r="D287" s="147"/>
      <c r="E287" s="108"/>
      <c r="F287" s="122"/>
      <c r="G287" s="108"/>
      <c r="H287" s="207"/>
      <c r="I287" s="108">
        <v>3100</v>
      </c>
      <c r="J287" s="147"/>
      <c r="K287" s="108"/>
      <c r="L287" s="122"/>
      <c r="M287" s="108">
        <v>1783.43</v>
      </c>
      <c r="N287" s="207"/>
      <c r="O287" s="108">
        <f t="shared" si="98"/>
        <v>4883.43</v>
      </c>
      <c r="P287" s="140">
        <f t="shared" si="99"/>
        <v>0</v>
      </c>
    </row>
    <row r="288" spans="1:16" ht="26.4" x14ac:dyDescent="0.25">
      <c r="A288" s="150"/>
      <c r="B288" s="174" t="s">
        <v>352</v>
      </c>
      <c r="C288" s="106">
        <f t="shared" ref="C288:P288" si="101">SUM(C289:C291)</f>
        <v>313600</v>
      </c>
      <c r="D288" s="178">
        <f t="shared" si="101"/>
        <v>205500</v>
      </c>
      <c r="E288" s="106">
        <f t="shared" si="101"/>
        <v>529000</v>
      </c>
      <c r="F288" s="131">
        <f t="shared" si="101"/>
        <v>511800</v>
      </c>
      <c r="G288" s="106">
        <f t="shared" si="101"/>
        <v>0</v>
      </c>
      <c r="H288" s="224">
        <f t="shared" si="101"/>
        <v>0</v>
      </c>
      <c r="I288" s="106">
        <f t="shared" si="101"/>
        <v>1400</v>
      </c>
      <c r="J288" s="178">
        <f t="shared" si="101"/>
        <v>0</v>
      </c>
      <c r="K288" s="106">
        <f t="shared" si="101"/>
        <v>0</v>
      </c>
      <c r="L288" s="131">
        <f t="shared" si="101"/>
        <v>0</v>
      </c>
      <c r="M288" s="106">
        <f t="shared" si="101"/>
        <v>0</v>
      </c>
      <c r="N288" s="224">
        <f t="shared" si="101"/>
        <v>0</v>
      </c>
      <c r="O288" s="106">
        <f t="shared" si="101"/>
        <v>844000</v>
      </c>
      <c r="P288" s="131">
        <f t="shared" si="101"/>
        <v>717300</v>
      </c>
    </row>
    <row r="289" spans="1:16" x14ac:dyDescent="0.25">
      <c r="A289" s="150" t="s">
        <v>64</v>
      </c>
      <c r="B289" s="146" t="s">
        <v>280</v>
      </c>
      <c r="C289" s="108"/>
      <c r="D289" s="147"/>
      <c r="E289" s="108">
        <v>529000</v>
      </c>
      <c r="F289" s="122">
        <v>511800</v>
      </c>
      <c r="G289" s="108"/>
      <c r="H289" s="207"/>
      <c r="I289" s="108"/>
      <c r="J289" s="147"/>
      <c r="K289" s="108"/>
      <c r="L289" s="122"/>
      <c r="M289" s="108"/>
      <c r="N289" s="207"/>
      <c r="O289" s="108">
        <f t="shared" si="98"/>
        <v>529000</v>
      </c>
      <c r="P289" s="140">
        <f t="shared" si="99"/>
        <v>511800</v>
      </c>
    </row>
    <row r="290" spans="1:16" ht="26.4" x14ac:dyDescent="0.25">
      <c r="A290" s="150" t="s">
        <v>64</v>
      </c>
      <c r="B290" s="146" t="s">
        <v>307</v>
      </c>
      <c r="C290" s="108">
        <v>313600</v>
      </c>
      <c r="D290" s="147">
        <v>205500</v>
      </c>
      <c r="E290" s="108"/>
      <c r="F290" s="122"/>
      <c r="G290" s="108"/>
      <c r="H290" s="207"/>
      <c r="I290" s="108"/>
      <c r="J290" s="147"/>
      <c r="K290" s="108"/>
      <c r="L290" s="122"/>
      <c r="M290" s="108"/>
      <c r="N290" s="207"/>
      <c r="O290" s="108">
        <f t="shared" si="98"/>
        <v>313600</v>
      </c>
      <c r="P290" s="140">
        <f t="shared" si="99"/>
        <v>205500</v>
      </c>
    </row>
    <row r="291" spans="1:16" x14ac:dyDescent="0.25">
      <c r="A291" s="150" t="s">
        <v>64</v>
      </c>
      <c r="B291" s="146" t="s">
        <v>281</v>
      </c>
      <c r="C291" s="108"/>
      <c r="D291" s="147"/>
      <c r="E291" s="108"/>
      <c r="F291" s="122"/>
      <c r="G291" s="108"/>
      <c r="H291" s="207"/>
      <c r="I291" s="108">
        <v>1400</v>
      </c>
      <c r="J291" s="147"/>
      <c r="K291" s="108"/>
      <c r="L291" s="122"/>
      <c r="M291" s="108"/>
      <c r="N291" s="207"/>
      <c r="O291" s="108">
        <f t="shared" si="98"/>
        <v>1400</v>
      </c>
      <c r="P291" s="140">
        <f t="shared" si="99"/>
        <v>0</v>
      </c>
    </row>
    <row r="292" spans="1:16" x14ac:dyDescent="0.25">
      <c r="A292" s="149"/>
      <c r="B292" s="174" t="s">
        <v>308</v>
      </c>
      <c r="C292" s="106">
        <f t="shared" ref="C292:P292" si="102">SUM(C293:C295)</f>
        <v>898500</v>
      </c>
      <c r="D292" s="178">
        <f t="shared" si="102"/>
        <v>698900</v>
      </c>
      <c r="E292" s="106">
        <f t="shared" si="102"/>
        <v>1291400</v>
      </c>
      <c r="F292" s="131">
        <f t="shared" si="102"/>
        <v>1248580</v>
      </c>
      <c r="G292" s="106">
        <f t="shared" si="102"/>
        <v>0</v>
      </c>
      <c r="H292" s="224">
        <f t="shared" si="102"/>
        <v>0</v>
      </c>
      <c r="I292" s="106">
        <f t="shared" si="102"/>
        <v>33900</v>
      </c>
      <c r="J292" s="178">
        <f t="shared" si="102"/>
        <v>0</v>
      </c>
      <c r="K292" s="106">
        <f t="shared" si="102"/>
        <v>0</v>
      </c>
      <c r="L292" s="131">
        <f t="shared" si="102"/>
        <v>0</v>
      </c>
      <c r="M292" s="106">
        <f t="shared" si="102"/>
        <v>1365.55</v>
      </c>
      <c r="N292" s="224">
        <f t="shared" si="102"/>
        <v>0</v>
      </c>
      <c r="O292" s="106">
        <f t="shared" si="102"/>
        <v>2225165.5499999998</v>
      </c>
      <c r="P292" s="131">
        <f t="shared" si="102"/>
        <v>1947480</v>
      </c>
    </row>
    <row r="293" spans="1:16" x14ac:dyDescent="0.25">
      <c r="A293" s="150" t="s">
        <v>64</v>
      </c>
      <c r="B293" s="146" t="s">
        <v>280</v>
      </c>
      <c r="C293" s="108"/>
      <c r="D293" s="147"/>
      <c r="E293" s="108">
        <f>1282700+8700</f>
        <v>1291400</v>
      </c>
      <c r="F293" s="122">
        <f>1232200+7800+8580</f>
        <v>1248580</v>
      </c>
      <c r="G293" s="108"/>
      <c r="H293" s="207"/>
      <c r="I293" s="108"/>
      <c r="J293" s="147"/>
      <c r="K293" s="108"/>
      <c r="L293" s="122"/>
      <c r="M293" s="108"/>
      <c r="N293" s="207"/>
      <c r="O293" s="108">
        <f t="shared" si="98"/>
        <v>1291400</v>
      </c>
      <c r="P293" s="140">
        <f t="shared" si="99"/>
        <v>1248580</v>
      </c>
    </row>
    <row r="294" spans="1:16" ht="26.4" x14ac:dyDescent="0.25">
      <c r="A294" s="150" t="s">
        <v>64</v>
      </c>
      <c r="B294" s="146" t="s">
        <v>307</v>
      </c>
      <c r="C294" s="108">
        <f>895000+3500</f>
        <v>898500</v>
      </c>
      <c r="D294" s="147">
        <f>516500+182400</f>
        <v>698900</v>
      </c>
      <c r="E294" s="108"/>
      <c r="F294" s="122"/>
      <c r="G294" s="108"/>
      <c r="H294" s="207"/>
      <c r="I294" s="108"/>
      <c r="J294" s="147"/>
      <c r="K294" s="108"/>
      <c r="L294" s="122"/>
      <c r="M294" s="108"/>
      <c r="N294" s="207"/>
      <c r="O294" s="108">
        <f t="shared" si="98"/>
        <v>898500</v>
      </c>
      <c r="P294" s="140">
        <f t="shared" si="99"/>
        <v>698900</v>
      </c>
    </row>
    <row r="295" spans="1:16" x14ac:dyDescent="0.25">
      <c r="A295" s="150" t="s">
        <v>64</v>
      </c>
      <c r="B295" s="146" t="s">
        <v>281</v>
      </c>
      <c r="C295" s="108"/>
      <c r="D295" s="147"/>
      <c r="E295" s="108"/>
      <c r="F295" s="122"/>
      <c r="G295" s="108"/>
      <c r="H295" s="207"/>
      <c r="I295" s="108">
        <v>33900</v>
      </c>
      <c r="J295" s="147"/>
      <c r="K295" s="108"/>
      <c r="L295" s="122"/>
      <c r="M295" s="108">
        <v>1365.55</v>
      </c>
      <c r="N295" s="207"/>
      <c r="O295" s="108">
        <f t="shared" si="98"/>
        <v>35265.550000000003</v>
      </c>
      <c r="P295" s="140">
        <f t="shared" si="99"/>
        <v>0</v>
      </c>
    </row>
    <row r="296" spans="1:16" ht="15" customHeight="1" x14ac:dyDescent="0.25">
      <c r="A296" s="150"/>
      <c r="B296" s="174" t="s">
        <v>309</v>
      </c>
      <c r="C296" s="106">
        <f t="shared" ref="C296:P296" si="103">SUM(C297:C299)</f>
        <v>687200</v>
      </c>
      <c r="D296" s="178">
        <f t="shared" si="103"/>
        <v>466200</v>
      </c>
      <c r="E296" s="106">
        <f t="shared" si="103"/>
        <v>1010000</v>
      </c>
      <c r="F296" s="131">
        <f t="shared" si="103"/>
        <v>955660</v>
      </c>
      <c r="G296" s="106">
        <f t="shared" si="103"/>
        <v>0</v>
      </c>
      <c r="H296" s="224">
        <f t="shared" si="103"/>
        <v>0</v>
      </c>
      <c r="I296" s="106">
        <f t="shared" si="103"/>
        <v>28000</v>
      </c>
      <c r="J296" s="178">
        <f t="shared" si="103"/>
        <v>0</v>
      </c>
      <c r="K296" s="106">
        <f t="shared" si="103"/>
        <v>0</v>
      </c>
      <c r="L296" s="131">
        <f t="shared" si="103"/>
        <v>0</v>
      </c>
      <c r="M296" s="106">
        <f t="shared" si="103"/>
        <v>283.85000000000002</v>
      </c>
      <c r="N296" s="224">
        <f t="shared" si="103"/>
        <v>0</v>
      </c>
      <c r="O296" s="106">
        <f t="shared" si="103"/>
        <v>1725483.85</v>
      </c>
      <c r="P296" s="131">
        <f t="shared" si="103"/>
        <v>1421860</v>
      </c>
    </row>
    <row r="297" spans="1:16" x14ac:dyDescent="0.25">
      <c r="A297" s="150" t="s">
        <v>64</v>
      </c>
      <c r="B297" s="146" t="s">
        <v>280</v>
      </c>
      <c r="C297" s="108"/>
      <c r="D297" s="147"/>
      <c r="E297" s="108">
        <f>1000100+9900</f>
        <v>1010000</v>
      </c>
      <c r="F297" s="122">
        <f>942700+3200+9760</f>
        <v>955660</v>
      </c>
      <c r="G297" s="108"/>
      <c r="H297" s="207"/>
      <c r="I297" s="108"/>
      <c r="J297" s="147"/>
      <c r="K297" s="108"/>
      <c r="L297" s="122"/>
      <c r="M297" s="108"/>
      <c r="N297" s="207"/>
      <c r="O297" s="108">
        <f t="shared" si="98"/>
        <v>1010000</v>
      </c>
      <c r="P297" s="140">
        <f t="shared" si="99"/>
        <v>955660</v>
      </c>
    </row>
    <row r="298" spans="1:16" ht="26.4" x14ac:dyDescent="0.25">
      <c r="A298" s="150" t="s">
        <v>64</v>
      </c>
      <c r="B298" s="146" t="s">
        <v>307</v>
      </c>
      <c r="C298" s="108">
        <f>615700+71500</f>
        <v>687200</v>
      </c>
      <c r="D298" s="147">
        <f>395800+70400</f>
        <v>466200</v>
      </c>
      <c r="E298" s="108"/>
      <c r="F298" s="122"/>
      <c r="G298" s="108"/>
      <c r="H298" s="207"/>
      <c r="I298" s="108"/>
      <c r="J298" s="147"/>
      <c r="K298" s="108"/>
      <c r="L298" s="122"/>
      <c r="M298" s="108"/>
      <c r="N298" s="207"/>
      <c r="O298" s="108">
        <f t="shared" si="98"/>
        <v>687200</v>
      </c>
      <c r="P298" s="140">
        <f t="shared" si="99"/>
        <v>466200</v>
      </c>
    </row>
    <row r="299" spans="1:16" x14ac:dyDescent="0.25">
      <c r="A299" s="150" t="s">
        <v>64</v>
      </c>
      <c r="B299" s="146" t="s">
        <v>281</v>
      </c>
      <c r="C299" s="108"/>
      <c r="D299" s="147"/>
      <c r="E299" s="108"/>
      <c r="F299" s="122"/>
      <c r="G299" s="108"/>
      <c r="H299" s="207"/>
      <c r="I299" s="108">
        <v>28000</v>
      </c>
      <c r="J299" s="147"/>
      <c r="K299" s="108"/>
      <c r="L299" s="122"/>
      <c r="M299" s="108">
        <v>283.85000000000002</v>
      </c>
      <c r="N299" s="207"/>
      <c r="O299" s="108">
        <f t="shared" si="98"/>
        <v>28283.85</v>
      </c>
      <c r="P299" s="140">
        <f t="shared" si="99"/>
        <v>0</v>
      </c>
    </row>
    <row r="300" spans="1:16" ht="26.4" x14ac:dyDescent="0.25">
      <c r="A300" s="149"/>
      <c r="B300" s="174" t="s">
        <v>316</v>
      </c>
      <c r="C300" s="106">
        <f t="shared" ref="C300:P300" si="104">SUM(C301:C303)</f>
        <v>542800</v>
      </c>
      <c r="D300" s="178">
        <f t="shared" si="104"/>
        <v>278700</v>
      </c>
      <c r="E300" s="106">
        <f t="shared" si="104"/>
        <v>730300</v>
      </c>
      <c r="F300" s="131">
        <f t="shared" si="104"/>
        <v>704460</v>
      </c>
      <c r="G300" s="106">
        <f t="shared" si="104"/>
        <v>0</v>
      </c>
      <c r="H300" s="224">
        <f t="shared" si="104"/>
        <v>0</v>
      </c>
      <c r="I300" s="106">
        <f t="shared" si="104"/>
        <v>18000</v>
      </c>
      <c r="J300" s="178">
        <f t="shared" si="104"/>
        <v>0</v>
      </c>
      <c r="K300" s="106">
        <f t="shared" si="104"/>
        <v>0</v>
      </c>
      <c r="L300" s="131">
        <f t="shared" si="104"/>
        <v>0</v>
      </c>
      <c r="M300" s="106">
        <f t="shared" si="104"/>
        <v>119.66</v>
      </c>
      <c r="N300" s="224">
        <f t="shared" si="104"/>
        <v>0</v>
      </c>
      <c r="O300" s="106">
        <f t="shared" si="104"/>
        <v>1291219.6599999999</v>
      </c>
      <c r="P300" s="131">
        <f t="shared" si="104"/>
        <v>983160</v>
      </c>
    </row>
    <row r="301" spans="1:16" x14ac:dyDescent="0.25">
      <c r="A301" s="150" t="s">
        <v>64</v>
      </c>
      <c r="B301" s="146" t="s">
        <v>280</v>
      </c>
      <c r="C301" s="108"/>
      <c r="D301" s="147"/>
      <c r="E301" s="108">
        <f>727800+2500</f>
        <v>730300</v>
      </c>
      <c r="F301" s="122">
        <f>696600+5400+2460</f>
        <v>704460</v>
      </c>
      <c r="G301" s="108"/>
      <c r="H301" s="207"/>
      <c r="I301" s="108"/>
      <c r="J301" s="147"/>
      <c r="K301" s="108"/>
      <c r="L301" s="122"/>
      <c r="M301" s="108"/>
      <c r="N301" s="207"/>
      <c r="O301" s="108">
        <f t="shared" si="98"/>
        <v>730300</v>
      </c>
      <c r="P301" s="140">
        <f t="shared" si="99"/>
        <v>704460</v>
      </c>
    </row>
    <row r="302" spans="1:16" ht="26.4" x14ac:dyDescent="0.25">
      <c r="A302" s="150" t="s">
        <v>64</v>
      </c>
      <c r="B302" s="146" t="s">
        <v>307</v>
      </c>
      <c r="C302" s="108">
        <f>460300+79000+3500</f>
        <v>542800</v>
      </c>
      <c r="D302" s="147">
        <f>201700+77000</f>
        <v>278700</v>
      </c>
      <c r="E302" s="108"/>
      <c r="F302" s="122"/>
      <c r="G302" s="108"/>
      <c r="H302" s="207"/>
      <c r="I302" s="108"/>
      <c r="J302" s="147"/>
      <c r="K302" s="108"/>
      <c r="L302" s="122"/>
      <c r="M302" s="108"/>
      <c r="N302" s="207"/>
      <c r="O302" s="108">
        <f t="shared" si="98"/>
        <v>542800</v>
      </c>
      <c r="P302" s="140">
        <f t="shared" si="99"/>
        <v>278700</v>
      </c>
    </row>
    <row r="303" spans="1:16" x14ac:dyDescent="0.25">
      <c r="A303" s="150" t="s">
        <v>64</v>
      </c>
      <c r="B303" s="146" t="s">
        <v>281</v>
      </c>
      <c r="C303" s="108"/>
      <c r="D303" s="147"/>
      <c r="E303" s="108"/>
      <c r="F303" s="122"/>
      <c r="G303" s="108"/>
      <c r="H303" s="207"/>
      <c r="I303" s="108">
        <v>18000</v>
      </c>
      <c r="J303" s="147"/>
      <c r="K303" s="108"/>
      <c r="L303" s="122"/>
      <c r="M303" s="108">
        <v>119.66</v>
      </c>
      <c r="N303" s="207"/>
      <c r="O303" s="108">
        <f t="shared" si="98"/>
        <v>18119.66</v>
      </c>
      <c r="P303" s="140">
        <f t="shared" si="99"/>
        <v>0</v>
      </c>
    </row>
    <row r="304" spans="1:16" x14ac:dyDescent="0.25">
      <c r="A304" s="150"/>
      <c r="B304" s="174" t="s">
        <v>326</v>
      </c>
      <c r="C304" s="106">
        <f t="shared" ref="C304:P304" si="105">SUM(C305:C307)</f>
        <v>205100</v>
      </c>
      <c r="D304" s="178">
        <f t="shared" si="105"/>
        <v>127600</v>
      </c>
      <c r="E304" s="106">
        <f t="shared" si="105"/>
        <v>504700</v>
      </c>
      <c r="F304" s="131">
        <f t="shared" si="105"/>
        <v>490030</v>
      </c>
      <c r="G304" s="106">
        <f t="shared" si="105"/>
        <v>0</v>
      </c>
      <c r="H304" s="224">
        <f t="shared" si="105"/>
        <v>0</v>
      </c>
      <c r="I304" s="106">
        <f t="shared" si="105"/>
        <v>3000</v>
      </c>
      <c r="J304" s="178">
        <f t="shared" si="105"/>
        <v>0</v>
      </c>
      <c r="K304" s="106">
        <f t="shared" si="105"/>
        <v>0</v>
      </c>
      <c r="L304" s="131">
        <f t="shared" si="105"/>
        <v>0</v>
      </c>
      <c r="M304" s="106">
        <f t="shared" si="105"/>
        <v>998.12</v>
      </c>
      <c r="N304" s="224">
        <f t="shared" si="105"/>
        <v>0</v>
      </c>
      <c r="O304" s="106">
        <f t="shared" si="105"/>
        <v>713798.12</v>
      </c>
      <c r="P304" s="131">
        <f t="shared" si="105"/>
        <v>617630</v>
      </c>
    </row>
    <row r="305" spans="1:16" x14ac:dyDescent="0.25">
      <c r="A305" s="150" t="s">
        <v>64</v>
      </c>
      <c r="B305" s="146" t="s">
        <v>280</v>
      </c>
      <c r="C305" s="108"/>
      <c r="D305" s="147"/>
      <c r="E305" s="108">
        <f>499800+4900</f>
        <v>504700</v>
      </c>
      <c r="F305" s="122">
        <f>485200+4830</f>
        <v>490030</v>
      </c>
      <c r="G305" s="108"/>
      <c r="H305" s="207"/>
      <c r="I305" s="108"/>
      <c r="J305" s="147"/>
      <c r="K305" s="108"/>
      <c r="L305" s="122"/>
      <c r="M305" s="108"/>
      <c r="N305" s="207"/>
      <c r="O305" s="108">
        <f t="shared" si="98"/>
        <v>504700</v>
      </c>
      <c r="P305" s="140">
        <f t="shared" si="99"/>
        <v>490030</v>
      </c>
    </row>
    <row r="306" spans="1:16" ht="26.4" x14ac:dyDescent="0.25">
      <c r="A306" s="150" t="s">
        <v>64</v>
      </c>
      <c r="B306" s="146" t="s">
        <v>307</v>
      </c>
      <c r="C306" s="108">
        <v>205100</v>
      </c>
      <c r="D306" s="147">
        <v>127600</v>
      </c>
      <c r="E306" s="108"/>
      <c r="F306" s="122"/>
      <c r="G306" s="108"/>
      <c r="H306" s="207"/>
      <c r="I306" s="108"/>
      <c r="J306" s="147"/>
      <c r="K306" s="108"/>
      <c r="L306" s="122"/>
      <c r="M306" s="108"/>
      <c r="N306" s="207"/>
      <c r="O306" s="108">
        <f t="shared" si="98"/>
        <v>205100</v>
      </c>
      <c r="P306" s="140">
        <f t="shared" si="99"/>
        <v>127600</v>
      </c>
    </row>
    <row r="307" spans="1:16" x14ac:dyDescent="0.25">
      <c r="A307" s="150" t="s">
        <v>64</v>
      </c>
      <c r="B307" s="146" t="s">
        <v>281</v>
      </c>
      <c r="C307" s="108"/>
      <c r="D307" s="147"/>
      <c r="E307" s="108"/>
      <c r="F307" s="122"/>
      <c r="G307" s="108"/>
      <c r="H307" s="207"/>
      <c r="I307" s="108">
        <v>3000</v>
      </c>
      <c r="J307" s="147"/>
      <c r="K307" s="108"/>
      <c r="L307" s="122"/>
      <c r="M307" s="108">
        <v>998.12</v>
      </c>
      <c r="N307" s="207"/>
      <c r="O307" s="108">
        <f t="shared" si="98"/>
        <v>3998.12</v>
      </c>
      <c r="P307" s="140">
        <f t="shared" si="99"/>
        <v>0</v>
      </c>
    </row>
    <row r="308" spans="1:16" ht="16.5" customHeight="1" x14ac:dyDescent="0.25">
      <c r="A308" s="149"/>
      <c r="B308" s="174" t="s">
        <v>427</v>
      </c>
      <c r="C308" s="106">
        <f t="shared" ref="C308:P308" si="106">SUM(C309:C311)</f>
        <v>176900</v>
      </c>
      <c r="D308" s="178">
        <f t="shared" si="106"/>
        <v>164500</v>
      </c>
      <c r="E308" s="106">
        <f t="shared" si="106"/>
        <v>131300</v>
      </c>
      <c r="F308" s="131">
        <f t="shared" si="106"/>
        <v>128400</v>
      </c>
      <c r="G308" s="106">
        <f t="shared" si="106"/>
        <v>0</v>
      </c>
      <c r="H308" s="224">
        <f t="shared" si="106"/>
        <v>0</v>
      </c>
      <c r="I308" s="106">
        <f t="shared" si="106"/>
        <v>4000</v>
      </c>
      <c r="J308" s="178">
        <f t="shared" si="106"/>
        <v>0</v>
      </c>
      <c r="K308" s="106">
        <f t="shared" si="106"/>
        <v>0</v>
      </c>
      <c r="L308" s="131">
        <f t="shared" si="106"/>
        <v>0</v>
      </c>
      <c r="M308" s="106">
        <f t="shared" si="106"/>
        <v>0</v>
      </c>
      <c r="N308" s="224">
        <f t="shared" si="106"/>
        <v>0</v>
      </c>
      <c r="O308" s="106">
        <f t="shared" si="106"/>
        <v>312200</v>
      </c>
      <c r="P308" s="131">
        <f t="shared" si="106"/>
        <v>292900</v>
      </c>
    </row>
    <row r="309" spans="1:16" x14ac:dyDescent="0.25">
      <c r="A309" s="150" t="s">
        <v>64</v>
      </c>
      <c r="B309" s="146" t="s">
        <v>280</v>
      </c>
      <c r="C309" s="108"/>
      <c r="D309" s="147"/>
      <c r="E309" s="108">
        <v>131300</v>
      </c>
      <c r="F309" s="122">
        <v>128400</v>
      </c>
      <c r="G309" s="108"/>
      <c r="H309" s="207"/>
      <c r="I309" s="108"/>
      <c r="J309" s="147"/>
      <c r="K309" s="108"/>
      <c r="L309" s="122"/>
      <c r="M309" s="108"/>
      <c r="N309" s="207"/>
      <c r="O309" s="108">
        <f t="shared" ref="O309:O335" si="107">SUM(C309,E309,G309,I309,K309,M309)</f>
        <v>131300</v>
      </c>
      <c r="P309" s="140">
        <f t="shared" ref="P309:P335" si="108">SUM(D309,F309,H309,J309,L309,N309)</f>
        <v>128400</v>
      </c>
    </row>
    <row r="310" spans="1:16" ht="23.25" customHeight="1" x14ac:dyDescent="0.25">
      <c r="A310" s="150" t="s">
        <v>64</v>
      </c>
      <c r="B310" s="146" t="s">
        <v>307</v>
      </c>
      <c r="C310" s="108">
        <v>176900</v>
      </c>
      <c r="D310" s="147">
        <v>164500</v>
      </c>
      <c r="E310" s="108"/>
      <c r="F310" s="122"/>
      <c r="G310" s="108"/>
      <c r="H310" s="207"/>
      <c r="I310" s="108"/>
      <c r="J310" s="147"/>
      <c r="K310" s="108"/>
      <c r="L310" s="122"/>
      <c r="M310" s="108"/>
      <c r="N310" s="207"/>
      <c r="O310" s="108">
        <f t="shared" si="107"/>
        <v>176900</v>
      </c>
      <c r="P310" s="140">
        <f t="shared" si="108"/>
        <v>164500</v>
      </c>
    </row>
    <row r="311" spans="1:16" x14ac:dyDescent="0.25">
      <c r="A311" s="150" t="s">
        <v>64</v>
      </c>
      <c r="B311" s="146" t="s">
        <v>281</v>
      </c>
      <c r="C311" s="108"/>
      <c r="D311" s="147"/>
      <c r="E311" s="108"/>
      <c r="F311" s="122"/>
      <c r="G311" s="108"/>
      <c r="H311" s="207"/>
      <c r="I311" s="108">
        <v>4000</v>
      </c>
      <c r="J311" s="147"/>
      <c r="K311" s="108"/>
      <c r="L311" s="122"/>
      <c r="M311" s="108"/>
      <c r="N311" s="207"/>
      <c r="O311" s="108">
        <f t="shared" si="107"/>
        <v>4000</v>
      </c>
      <c r="P311" s="140">
        <f t="shared" si="108"/>
        <v>0</v>
      </c>
    </row>
    <row r="312" spans="1:16" x14ac:dyDescent="0.25">
      <c r="A312" s="149"/>
      <c r="B312" s="174" t="s">
        <v>310</v>
      </c>
      <c r="C312" s="106">
        <f t="shared" ref="C312:P312" si="109">SUM(C313:C315)</f>
        <v>611500</v>
      </c>
      <c r="D312" s="178">
        <f t="shared" si="109"/>
        <v>389000</v>
      </c>
      <c r="E312" s="106">
        <f t="shared" si="109"/>
        <v>1174600</v>
      </c>
      <c r="F312" s="131">
        <f t="shared" si="109"/>
        <v>1129760</v>
      </c>
      <c r="G312" s="106">
        <f t="shared" si="109"/>
        <v>0</v>
      </c>
      <c r="H312" s="224">
        <f t="shared" si="109"/>
        <v>0</v>
      </c>
      <c r="I312" s="106">
        <f t="shared" si="109"/>
        <v>9000</v>
      </c>
      <c r="J312" s="178">
        <f t="shared" si="109"/>
        <v>0</v>
      </c>
      <c r="K312" s="106">
        <f t="shared" si="109"/>
        <v>0</v>
      </c>
      <c r="L312" s="131">
        <f t="shared" si="109"/>
        <v>0</v>
      </c>
      <c r="M312" s="106">
        <f t="shared" si="109"/>
        <v>0</v>
      </c>
      <c r="N312" s="224">
        <f t="shared" si="109"/>
        <v>0</v>
      </c>
      <c r="O312" s="106">
        <f t="shared" si="109"/>
        <v>1795100</v>
      </c>
      <c r="P312" s="131">
        <f t="shared" si="109"/>
        <v>1518760</v>
      </c>
    </row>
    <row r="313" spans="1:16" x14ac:dyDescent="0.25">
      <c r="A313" s="150" t="s">
        <v>64</v>
      </c>
      <c r="B313" s="146" t="s">
        <v>280</v>
      </c>
      <c r="C313" s="108"/>
      <c r="D313" s="147"/>
      <c r="E313" s="108">
        <f>1164700+9900</f>
        <v>1174600</v>
      </c>
      <c r="F313" s="122">
        <f>1120000+9760</f>
        <v>1129760</v>
      </c>
      <c r="G313" s="108"/>
      <c r="H313" s="207"/>
      <c r="I313" s="108"/>
      <c r="J313" s="147"/>
      <c r="K313" s="108"/>
      <c r="L313" s="122"/>
      <c r="M313" s="108"/>
      <c r="N313" s="207"/>
      <c r="O313" s="108">
        <f t="shared" si="107"/>
        <v>1174600</v>
      </c>
      <c r="P313" s="140">
        <f t="shared" si="108"/>
        <v>1129760</v>
      </c>
    </row>
    <row r="314" spans="1:16" ht="22.5" customHeight="1" x14ac:dyDescent="0.25">
      <c r="A314" s="150" t="s">
        <v>64</v>
      </c>
      <c r="B314" s="146" t="s">
        <v>307</v>
      </c>
      <c r="C314" s="108">
        <v>611500</v>
      </c>
      <c r="D314" s="147">
        <v>389000</v>
      </c>
      <c r="E314" s="108"/>
      <c r="F314" s="122"/>
      <c r="G314" s="108"/>
      <c r="H314" s="207"/>
      <c r="I314" s="108"/>
      <c r="J314" s="147"/>
      <c r="K314" s="108"/>
      <c r="L314" s="122"/>
      <c r="M314" s="108"/>
      <c r="N314" s="207"/>
      <c r="O314" s="108">
        <f t="shared" si="107"/>
        <v>611500</v>
      </c>
      <c r="P314" s="140">
        <f t="shared" si="108"/>
        <v>389000</v>
      </c>
    </row>
    <row r="315" spans="1:16" x14ac:dyDescent="0.25">
      <c r="A315" s="150" t="s">
        <v>64</v>
      </c>
      <c r="B315" s="146" t="s">
        <v>281</v>
      </c>
      <c r="C315" s="108"/>
      <c r="D315" s="147"/>
      <c r="E315" s="108"/>
      <c r="F315" s="122"/>
      <c r="G315" s="108"/>
      <c r="H315" s="207"/>
      <c r="I315" s="108">
        <v>9000</v>
      </c>
      <c r="J315" s="147"/>
      <c r="K315" s="108"/>
      <c r="L315" s="122"/>
      <c r="M315" s="108"/>
      <c r="N315" s="207"/>
      <c r="O315" s="108">
        <f t="shared" si="107"/>
        <v>9000</v>
      </c>
      <c r="P315" s="140">
        <f t="shared" si="108"/>
        <v>0</v>
      </c>
    </row>
    <row r="316" spans="1:16" x14ac:dyDescent="0.25">
      <c r="A316" s="192"/>
      <c r="B316" s="174" t="s">
        <v>311</v>
      </c>
      <c r="C316" s="106">
        <f t="shared" ref="C316:P316" si="110">SUM(C317:C319)</f>
        <v>377700</v>
      </c>
      <c r="D316" s="178">
        <f t="shared" si="110"/>
        <v>263800</v>
      </c>
      <c r="E316" s="106">
        <f t="shared" si="110"/>
        <v>953700</v>
      </c>
      <c r="F316" s="131">
        <f t="shared" si="110"/>
        <v>916300</v>
      </c>
      <c r="G316" s="106">
        <f t="shared" si="110"/>
        <v>0</v>
      </c>
      <c r="H316" s="224">
        <f t="shared" si="110"/>
        <v>0</v>
      </c>
      <c r="I316" s="106">
        <f t="shared" si="110"/>
        <v>8700</v>
      </c>
      <c r="J316" s="178">
        <f t="shared" si="110"/>
        <v>0</v>
      </c>
      <c r="K316" s="106">
        <f t="shared" si="110"/>
        <v>0</v>
      </c>
      <c r="L316" s="131">
        <f t="shared" si="110"/>
        <v>0</v>
      </c>
      <c r="M316" s="106">
        <f t="shared" si="110"/>
        <v>32.4</v>
      </c>
      <c r="N316" s="224">
        <f t="shared" si="110"/>
        <v>0</v>
      </c>
      <c r="O316" s="106">
        <f t="shared" si="110"/>
        <v>1340132.3999999999</v>
      </c>
      <c r="P316" s="131">
        <f t="shared" si="110"/>
        <v>1180100</v>
      </c>
    </row>
    <row r="317" spans="1:16" x14ac:dyDescent="0.25">
      <c r="A317" s="150" t="s">
        <v>64</v>
      </c>
      <c r="B317" s="146" t="s">
        <v>280</v>
      </c>
      <c r="C317" s="108"/>
      <c r="D317" s="147"/>
      <c r="E317" s="108">
        <f>951200+2500</f>
        <v>953700</v>
      </c>
      <c r="F317" s="122">
        <f>913900+2400</f>
        <v>916300</v>
      </c>
      <c r="G317" s="108"/>
      <c r="H317" s="207"/>
      <c r="I317" s="108"/>
      <c r="J317" s="147"/>
      <c r="K317" s="108"/>
      <c r="L317" s="122"/>
      <c r="M317" s="108"/>
      <c r="N317" s="207"/>
      <c r="O317" s="108">
        <f t="shared" si="107"/>
        <v>953700</v>
      </c>
      <c r="P317" s="140">
        <f t="shared" si="108"/>
        <v>916300</v>
      </c>
    </row>
    <row r="318" spans="1:16" ht="24" customHeight="1" x14ac:dyDescent="0.25">
      <c r="A318" s="150" t="s">
        <v>64</v>
      </c>
      <c r="B318" s="146" t="s">
        <v>307</v>
      </c>
      <c r="C318" s="108">
        <f>377700</f>
        <v>377700</v>
      </c>
      <c r="D318" s="147">
        <v>263800</v>
      </c>
      <c r="E318" s="108"/>
      <c r="F318" s="122"/>
      <c r="G318" s="108"/>
      <c r="H318" s="207"/>
      <c r="I318" s="108"/>
      <c r="J318" s="147"/>
      <c r="K318" s="108"/>
      <c r="L318" s="122"/>
      <c r="M318" s="108"/>
      <c r="N318" s="207"/>
      <c r="O318" s="108">
        <f t="shared" si="107"/>
        <v>377700</v>
      </c>
      <c r="P318" s="140">
        <f t="shared" si="108"/>
        <v>263800</v>
      </c>
    </row>
    <row r="319" spans="1:16" x14ac:dyDescent="0.25">
      <c r="A319" s="150" t="s">
        <v>64</v>
      </c>
      <c r="B319" s="146" t="s">
        <v>281</v>
      </c>
      <c r="C319" s="108"/>
      <c r="D319" s="147"/>
      <c r="E319" s="108"/>
      <c r="F319" s="122"/>
      <c r="G319" s="108"/>
      <c r="H319" s="207"/>
      <c r="I319" s="108">
        <v>8700</v>
      </c>
      <c r="J319" s="147"/>
      <c r="K319" s="108"/>
      <c r="L319" s="122"/>
      <c r="M319" s="108">
        <v>32.4</v>
      </c>
      <c r="N319" s="207"/>
      <c r="O319" s="108">
        <f t="shared" si="107"/>
        <v>8732.4</v>
      </c>
      <c r="P319" s="140">
        <f t="shared" si="108"/>
        <v>0</v>
      </c>
    </row>
    <row r="320" spans="1:16" x14ac:dyDescent="0.25">
      <c r="A320" s="157"/>
      <c r="B320" s="174" t="s">
        <v>312</v>
      </c>
      <c r="C320" s="106">
        <f t="shared" ref="C320:P320" si="111">SUM(C321:C322)</f>
        <v>136100</v>
      </c>
      <c r="D320" s="178">
        <f t="shared" si="111"/>
        <v>103500</v>
      </c>
      <c r="E320" s="106">
        <f t="shared" si="111"/>
        <v>405800</v>
      </c>
      <c r="F320" s="131">
        <f t="shared" si="111"/>
        <v>394600</v>
      </c>
      <c r="G320" s="106">
        <f t="shared" si="111"/>
        <v>0</v>
      </c>
      <c r="H320" s="224">
        <f t="shared" si="111"/>
        <v>0</v>
      </c>
      <c r="I320" s="106">
        <f t="shared" si="111"/>
        <v>0</v>
      </c>
      <c r="J320" s="178">
        <f t="shared" si="111"/>
        <v>0</v>
      </c>
      <c r="K320" s="106">
        <f t="shared" si="111"/>
        <v>0</v>
      </c>
      <c r="L320" s="131">
        <f t="shared" si="111"/>
        <v>0</v>
      </c>
      <c r="M320" s="106">
        <f t="shared" si="111"/>
        <v>0</v>
      </c>
      <c r="N320" s="224">
        <f t="shared" si="111"/>
        <v>0</v>
      </c>
      <c r="O320" s="106">
        <f t="shared" si="111"/>
        <v>541900</v>
      </c>
      <c r="P320" s="131">
        <f t="shared" si="111"/>
        <v>498100</v>
      </c>
    </row>
    <row r="321" spans="1:16" x14ac:dyDescent="0.25">
      <c r="A321" s="150" t="s">
        <v>64</v>
      </c>
      <c r="B321" s="146" t="s">
        <v>280</v>
      </c>
      <c r="C321" s="108"/>
      <c r="D321" s="147"/>
      <c r="E321" s="108">
        <v>405800</v>
      </c>
      <c r="F321" s="122">
        <v>394600</v>
      </c>
      <c r="G321" s="108"/>
      <c r="H321" s="207"/>
      <c r="I321" s="108"/>
      <c r="J321" s="147"/>
      <c r="K321" s="108"/>
      <c r="L321" s="122"/>
      <c r="M321" s="108"/>
      <c r="N321" s="207"/>
      <c r="O321" s="108">
        <f>SUM(C321,E321,G321,I321,K321,M321)</f>
        <v>405800</v>
      </c>
      <c r="P321" s="140">
        <f t="shared" si="108"/>
        <v>394600</v>
      </c>
    </row>
    <row r="322" spans="1:16" ht="26.4" x14ac:dyDescent="0.25">
      <c r="A322" s="150" t="s">
        <v>64</v>
      </c>
      <c r="B322" s="146" t="s">
        <v>307</v>
      </c>
      <c r="C322" s="108">
        <v>136100</v>
      </c>
      <c r="D322" s="147">
        <v>103500</v>
      </c>
      <c r="E322" s="108"/>
      <c r="F322" s="122"/>
      <c r="G322" s="108"/>
      <c r="H322" s="207"/>
      <c r="I322" s="108"/>
      <c r="J322" s="147"/>
      <c r="K322" s="108"/>
      <c r="L322" s="122"/>
      <c r="M322" s="108"/>
      <c r="N322" s="207"/>
      <c r="O322" s="108">
        <f t="shared" si="107"/>
        <v>136100</v>
      </c>
      <c r="P322" s="140">
        <f t="shared" si="108"/>
        <v>103500</v>
      </c>
    </row>
    <row r="323" spans="1:16" x14ac:dyDescent="0.25">
      <c r="A323" s="149"/>
      <c r="B323" s="174" t="s">
        <v>313</v>
      </c>
      <c r="C323" s="106">
        <f t="shared" ref="C323:P323" si="112">SUM(C324:C326)</f>
        <v>28600</v>
      </c>
      <c r="D323" s="178">
        <f t="shared" si="112"/>
        <v>1000</v>
      </c>
      <c r="E323" s="106">
        <f t="shared" si="112"/>
        <v>1075100</v>
      </c>
      <c r="F323" s="131">
        <f t="shared" si="112"/>
        <v>895870</v>
      </c>
      <c r="G323" s="106">
        <f t="shared" si="112"/>
        <v>0</v>
      </c>
      <c r="H323" s="224">
        <f t="shared" si="112"/>
        <v>0</v>
      </c>
      <c r="I323" s="106">
        <f t="shared" si="112"/>
        <v>23100</v>
      </c>
      <c r="J323" s="178">
        <f t="shared" si="112"/>
        <v>0</v>
      </c>
      <c r="K323" s="106">
        <f t="shared" si="112"/>
        <v>0</v>
      </c>
      <c r="L323" s="131">
        <f t="shared" si="112"/>
        <v>0</v>
      </c>
      <c r="M323" s="106">
        <f t="shared" si="112"/>
        <v>1322.66</v>
      </c>
      <c r="N323" s="224">
        <f t="shared" si="112"/>
        <v>0</v>
      </c>
      <c r="O323" s="106">
        <f t="shared" si="112"/>
        <v>1128122.6599999999</v>
      </c>
      <c r="P323" s="131">
        <f t="shared" si="112"/>
        <v>896870</v>
      </c>
    </row>
    <row r="324" spans="1:16" x14ac:dyDescent="0.25">
      <c r="A324" s="150" t="s">
        <v>64</v>
      </c>
      <c r="B324" s="146" t="s">
        <v>280</v>
      </c>
      <c r="C324" s="108"/>
      <c r="D324" s="147"/>
      <c r="E324" s="108">
        <f>517400+2500</f>
        <v>519900</v>
      </c>
      <c r="F324" s="122">
        <f>498400+2470</f>
        <v>500870</v>
      </c>
      <c r="G324" s="108"/>
      <c r="H324" s="207"/>
      <c r="I324" s="108"/>
      <c r="J324" s="147"/>
      <c r="K324" s="108"/>
      <c r="L324" s="122"/>
      <c r="M324" s="108"/>
      <c r="N324" s="207"/>
      <c r="O324" s="108">
        <f t="shared" si="107"/>
        <v>519900</v>
      </c>
      <c r="P324" s="140">
        <f t="shared" si="108"/>
        <v>500870</v>
      </c>
    </row>
    <row r="325" spans="1:16" ht="23.25" customHeight="1" x14ac:dyDescent="0.25">
      <c r="A325" s="150" t="s">
        <v>64</v>
      </c>
      <c r="B325" s="146" t="s">
        <v>307</v>
      </c>
      <c r="C325" s="108">
        <v>28600</v>
      </c>
      <c r="D325" s="147">
        <v>1000</v>
      </c>
      <c r="E325" s="108">
        <v>555200</v>
      </c>
      <c r="F325" s="122">
        <v>395000</v>
      </c>
      <c r="G325" s="108"/>
      <c r="H325" s="207"/>
      <c r="I325" s="108"/>
      <c r="J325" s="147"/>
      <c r="K325" s="108"/>
      <c r="L325" s="122"/>
      <c r="M325" s="108"/>
      <c r="N325" s="207"/>
      <c r="O325" s="108">
        <f t="shared" si="107"/>
        <v>583800</v>
      </c>
      <c r="P325" s="140">
        <f t="shared" si="108"/>
        <v>396000</v>
      </c>
    </row>
    <row r="326" spans="1:16" x14ac:dyDescent="0.25">
      <c r="A326" s="150" t="s">
        <v>64</v>
      </c>
      <c r="B326" s="146" t="s">
        <v>281</v>
      </c>
      <c r="C326" s="108"/>
      <c r="D326" s="147"/>
      <c r="E326" s="108"/>
      <c r="F326" s="122"/>
      <c r="G326" s="108"/>
      <c r="H326" s="207"/>
      <c r="I326" s="108">
        <v>23100</v>
      </c>
      <c r="J326" s="147"/>
      <c r="K326" s="108"/>
      <c r="L326" s="122"/>
      <c r="M326" s="108">
        <v>1322.66</v>
      </c>
      <c r="N326" s="207"/>
      <c r="O326" s="108">
        <f t="shared" si="107"/>
        <v>24422.66</v>
      </c>
      <c r="P326" s="140">
        <f t="shared" si="108"/>
        <v>0</v>
      </c>
    </row>
    <row r="327" spans="1:16" x14ac:dyDescent="0.25">
      <c r="A327" s="149"/>
      <c r="B327" s="193" t="s">
        <v>315</v>
      </c>
      <c r="C327" s="106">
        <f t="shared" ref="C327:P327" si="113">SUM(C328:C330)</f>
        <v>618300</v>
      </c>
      <c r="D327" s="178">
        <f t="shared" si="113"/>
        <v>513600</v>
      </c>
      <c r="E327" s="106">
        <f t="shared" si="113"/>
        <v>574800</v>
      </c>
      <c r="F327" s="131">
        <f t="shared" si="113"/>
        <v>519800</v>
      </c>
      <c r="G327" s="106">
        <f t="shared" si="113"/>
        <v>0</v>
      </c>
      <c r="H327" s="224">
        <f t="shared" si="113"/>
        <v>0</v>
      </c>
      <c r="I327" s="106">
        <f t="shared" si="113"/>
        <v>85000</v>
      </c>
      <c r="J327" s="178">
        <f t="shared" si="113"/>
        <v>0</v>
      </c>
      <c r="K327" s="106">
        <f t="shared" si="113"/>
        <v>0</v>
      </c>
      <c r="L327" s="131">
        <f t="shared" si="113"/>
        <v>0</v>
      </c>
      <c r="M327" s="106">
        <f t="shared" si="113"/>
        <v>3184.42</v>
      </c>
      <c r="N327" s="224">
        <f t="shared" si="113"/>
        <v>0</v>
      </c>
      <c r="O327" s="106">
        <f t="shared" si="113"/>
        <v>1281284.42</v>
      </c>
      <c r="P327" s="131">
        <f t="shared" si="113"/>
        <v>1033400</v>
      </c>
    </row>
    <row r="328" spans="1:16" x14ac:dyDescent="0.25">
      <c r="A328" s="150" t="s">
        <v>64</v>
      </c>
      <c r="B328" s="146" t="s">
        <v>280</v>
      </c>
      <c r="C328" s="108"/>
      <c r="D328" s="147"/>
      <c r="E328" s="108">
        <f>568900+5900</f>
        <v>574800</v>
      </c>
      <c r="F328" s="122">
        <f>514000+5800</f>
        <v>519800</v>
      </c>
      <c r="G328" s="108"/>
      <c r="H328" s="207"/>
      <c r="I328" s="108"/>
      <c r="J328" s="147"/>
      <c r="K328" s="108"/>
      <c r="L328" s="122"/>
      <c r="M328" s="108"/>
      <c r="N328" s="207"/>
      <c r="O328" s="108">
        <f t="shared" si="107"/>
        <v>574800</v>
      </c>
      <c r="P328" s="140">
        <f t="shared" si="108"/>
        <v>519800</v>
      </c>
    </row>
    <row r="329" spans="1:16" ht="26.4" x14ac:dyDescent="0.25">
      <c r="A329" s="150" t="s">
        <v>64</v>
      </c>
      <c r="B329" s="146" t="s">
        <v>307</v>
      </c>
      <c r="C329" s="108">
        <v>618300</v>
      </c>
      <c r="D329" s="147">
        <v>513600</v>
      </c>
      <c r="E329" s="108"/>
      <c r="F329" s="122"/>
      <c r="G329" s="108"/>
      <c r="H329" s="207"/>
      <c r="I329" s="108"/>
      <c r="J329" s="147"/>
      <c r="K329" s="108"/>
      <c r="L329" s="122"/>
      <c r="M329" s="108"/>
      <c r="N329" s="207"/>
      <c r="O329" s="108">
        <f t="shared" si="107"/>
        <v>618300</v>
      </c>
      <c r="P329" s="140">
        <f t="shared" si="108"/>
        <v>513600</v>
      </c>
    </row>
    <row r="330" spans="1:16" x14ac:dyDescent="0.25">
      <c r="A330" s="150" t="s">
        <v>64</v>
      </c>
      <c r="B330" s="146" t="s">
        <v>281</v>
      </c>
      <c r="C330" s="108"/>
      <c r="D330" s="147"/>
      <c r="E330" s="108"/>
      <c r="F330" s="122"/>
      <c r="G330" s="108"/>
      <c r="H330" s="207"/>
      <c r="I330" s="108">
        <v>85000</v>
      </c>
      <c r="J330" s="147"/>
      <c r="K330" s="108"/>
      <c r="L330" s="122"/>
      <c r="M330" s="108">
        <v>3184.42</v>
      </c>
      <c r="N330" s="207"/>
      <c r="O330" s="108">
        <f t="shared" si="107"/>
        <v>88184.42</v>
      </c>
      <c r="P330" s="140">
        <f t="shared" si="108"/>
        <v>0</v>
      </c>
    </row>
    <row r="331" spans="1:16" x14ac:dyDescent="0.25">
      <c r="A331" s="157"/>
      <c r="B331" s="174" t="s">
        <v>314</v>
      </c>
      <c r="C331" s="106">
        <f t="shared" ref="C331:P331" si="114">SUM(C332:C335)</f>
        <v>563300</v>
      </c>
      <c r="D331" s="178">
        <f t="shared" si="114"/>
        <v>480000</v>
      </c>
      <c r="E331" s="106">
        <f t="shared" si="114"/>
        <v>504735</v>
      </c>
      <c r="F331" s="131">
        <f t="shared" si="114"/>
        <v>454400</v>
      </c>
      <c r="G331" s="106">
        <f t="shared" si="114"/>
        <v>0</v>
      </c>
      <c r="H331" s="224">
        <f t="shared" si="114"/>
        <v>0</v>
      </c>
      <c r="I331" s="106">
        <f t="shared" si="114"/>
        <v>56000</v>
      </c>
      <c r="J331" s="178">
        <f t="shared" si="114"/>
        <v>0</v>
      </c>
      <c r="K331" s="106">
        <f t="shared" si="114"/>
        <v>0</v>
      </c>
      <c r="L331" s="131">
        <f t="shared" si="114"/>
        <v>0</v>
      </c>
      <c r="M331" s="106">
        <f t="shared" si="114"/>
        <v>4485.57</v>
      </c>
      <c r="N331" s="224">
        <f t="shared" si="114"/>
        <v>0</v>
      </c>
      <c r="O331" s="106">
        <f t="shared" si="114"/>
        <v>1128520.57</v>
      </c>
      <c r="P331" s="131">
        <f t="shared" si="114"/>
        <v>934400</v>
      </c>
    </row>
    <row r="332" spans="1:16" x14ac:dyDescent="0.25">
      <c r="A332" s="157" t="s">
        <v>64</v>
      </c>
      <c r="B332" s="146" t="s">
        <v>280</v>
      </c>
      <c r="C332" s="108"/>
      <c r="D332" s="147"/>
      <c r="E332" s="108">
        <f>497700+3500</f>
        <v>501200</v>
      </c>
      <c r="F332" s="122">
        <f>451000+3400</f>
        <v>454400</v>
      </c>
      <c r="G332" s="108"/>
      <c r="H332" s="207"/>
      <c r="I332" s="108"/>
      <c r="J332" s="147"/>
      <c r="K332" s="108"/>
      <c r="L332" s="122"/>
      <c r="M332" s="108"/>
      <c r="N332" s="207"/>
      <c r="O332" s="108">
        <f t="shared" si="107"/>
        <v>501200</v>
      </c>
      <c r="P332" s="140">
        <f t="shared" si="108"/>
        <v>454400</v>
      </c>
    </row>
    <row r="333" spans="1:16" ht="24.6" customHeight="1" x14ac:dyDescent="0.25">
      <c r="A333" s="150" t="s">
        <v>64</v>
      </c>
      <c r="B333" s="146" t="s">
        <v>492</v>
      </c>
      <c r="C333" s="108"/>
      <c r="D333" s="147"/>
      <c r="E333" s="108">
        <v>3535</v>
      </c>
      <c r="F333" s="122"/>
      <c r="G333" s="108"/>
      <c r="H333" s="207"/>
      <c r="I333" s="108"/>
      <c r="J333" s="147"/>
      <c r="K333" s="108"/>
      <c r="L333" s="122"/>
      <c r="M333" s="108"/>
      <c r="N333" s="207"/>
      <c r="O333" s="108">
        <f t="shared" si="107"/>
        <v>3535</v>
      </c>
      <c r="P333" s="140">
        <f t="shared" si="108"/>
        <v>0</v>
      </c>
    </row>
    <row r="334" spans="1:16" ht="26.4" x14ac:dyDescent="0.25">
      <c r="A334" s="150" t="s">
        <v>64</v>
      </c>
      <c r="B334" s="146" t="s">
        <v>307</v>
      </c>
      <c r="C334" s="108">
        <v>563300</v>
      </c>
      <c r="D334" s="147">
        <v>480000</v>
      </c>
      <c r="E334" s="108"/>
      <c r="F334" s="122"/>
      <c r="G334" s="108"/>
      <c r="H334" s="207"/>
      <c r="I334" s="108"/>
      <c r="J334" s="147"/>
      <c r="K334" s="108"/>
      <c r="L334" s="122"/>
      <c r="M334" s="108"/>
      <c r="N334" s="207"/>
      <c r="O334" s="108">
        <f t="shared" ref="O334" si="115">SUM(C334,E334,G334,I334,K334,M334)</f>
        <v>563300</v>
      </c>
      <c r="P334" s="140">
        <f t="shared" ref="P334" si="116">SUM(D334,F334,H334,J334,L334,N334)</f>
        <v>480000</v>
      </c>
    </row>
    <row r="335" spans="1:16" x14ac:dyDescent="0.25">
      <c r="A335" s="150" t="s">
        <v>64</v>
      </c>
      <c r="B335" s="146" t="s">
        <v>281</v>
      </c>
      <c r="C335" s="108"/>
      <c r="D335" s="147"/>
      <c r="E335" s="108"/>
      <c r="F335" s="122"/>
      <c r="G335" s="108"/>
      <c r="H335" s="207"/>
      <c r="I335" s="108">
        <v>56000</v>
      </c>
      <c r="J335" s="147"/>
      <c r="K335" s="108"/>
      <c r="L335" s="122"/>
      <c r="M335" s="108">
        <v>4485.57</v>
      </c>
      <c r="N335" s="207"/>
      <c r="O335" s="108">
        <f t="shared" si="107"/>
        <v>60485.57</v>
      </c>
      <c r="P335" s="140">
        <f t="shared" si="108"/>
        <v>0</v>
      </c>
    </row>
    <row r="336" spans="1:16" x14ac:dyDescent="0.25">
      <c r="A336" s="157"/>
      <c r="B336" s="174" t="s">
        <v>348</v>
      </c>
      <c r="C336" s="106">
        <f t="shared" ref="C336:P336" si="117">SUM(C337:C339)</f>
        <v>680900</v>
      </c>
      <c r="D336" s="178">
        <f t="shared" si="117"/>
        <v>646000</v>
      </c>
      <c r="E336" s="106">
        <f t="shared" si="117"/>
        <v>19000</v>
      </c>
      <c r="F336" s="131">
        <f t="shared" si="117"/>
        <v>18600</v>
      </c>
      <c r="G336" s="106">
        <f t="shared" si="117"/>
        <v>0</v>
      </c>
      <c r="H336" s="224">
        <f t="shared" si="117"/>
        <v>0</v>
      </c>
      <c r="I336" s="106">
        <f t="shared" si="117"/>
        <v>32300</v>
      </c>
      <c r="J336" s="178">
        <f t="shared" si="117"/>
        <v>0</v>
      </c>
      <c r="K336" s="106">
        <f t="shared" si="117"/>
        <v>0</v>
      </c>
      <c r="L336" s="131">
        <f t="shared" si="117"/>
        <v>0</v>
      </c>
      <c r="M336" s="106">
        <f t="shared" si="117"/>
        <v>11346.24</v>
      </c>
      <c r="N336" s="224">
        <f t="shared" si="117"/>
        <v>0</v>
      </c>
      <c r="O336" s="106">
        <f t="shared" si="117"/>
        <v>743546.24</v>
      </c>
      <c r="P336" s="131">
        <f t="shared" si="117"/>
        <v>664600</v>
      </c>
    </row>
    <row r="337" spans="1:17" x14ac:dyDescent="0.25">
      <c r="A337" s="150" t="s">
        <v>64</v>
      </c>
      <c r="B337" s="146" t="s">
        <v>280</v>
      </c>
      <c r="C337" s="108"/>
      <c r="D337" s="147"/>
      <c r="E337" s="108">
        <v>19000</v>
      </c>
      <c r="F337" s="122">
        <v>18600</v>
      </c>
      <c r="G337" s="108"/>
      <c r="H337" s="207"/>
      <c r="I337" s="108"/>
      <c r="J337" s="147"/>
      <c r="K337" s="108"/>
      <c r="L337" s="122"/>
      <c r="M337" s="108"/>
      <c r="N337" s="207"/>
      <c r="O337" s="108">
        <f t="shared" ref="O337:O339" si="118">SUM(C337,E337,G337,I337,K337,M337)</f>
        <v>19000</v>
      </c>
      <c r="P337" s="140">
        <f t="shared" ref="P337:P339" si="119">SUM(D337,F337,H337,J337,L337,N337)</f>
        <v>18600</v>
      </c>
    </row>
    <row r="338" spans="1:17" ht="26.4" x14ac:dyDescent="0.25">
      <c r="A338" s="150" t="s">
        <v>64</v>
      </c>
      <c r="B338" s="146" t="s">
        <v>307</v>
      </c>
      <c r="C338" s="108">
        <v>680900</v>
      </c>
      <c r="D338" s="147">
        <v>646000</v>
      </c>
      <c r="E338" s="108"/>
      <c r="F338" s="122"/>
      <c r="G338" s="108"/>
      <c r="H338" s="207"/>
      <c r="I338" s="108"/>
      <c r="J338" s="147"/>
      <c r="K338" s="108"/>
      <c r="L338" s="122"/>
      <c r="M338" s="108"/>
      <c r="N338" s="207"/>
      <c r="O338" s="108">
        <f t="shared" si="118"/>
        <v>680900</v>
      </c>
      <c r="P338" s="140">
        <f t="shared" si="119"/>
        <v>646000</v>
      </c>
    </row>
    <row r="339" spans="1:17" ht="13.8" thickBot="1" x14ac:dyDescent="0.3">
      <c r="A339" s="150" t="s">
        <v>64</v>
      </c>
      <c r="B339" s="146" t="s">
        <v>281</v>
      </c>
      <c r="C339" s="108"/>
      <c r="D339" s="147"/>
      <c r="E339" s="108"/>
      <c r="F339" s="122"/>
      <c r="G339" s="108"/>
      <c r="H339" s="207"/>
      <c r="I339" s="108">
        <v>32300</v>
      </c>
      <c r="J339" s="147"/>
      <c r="K339" s="108"/>
      <c r="L339" s="122"/>
      <c r="M339" s="108">
        <v>11346.24</v>
      </c>
      <c r="N339" s="207"/>
      <c r="O339" s="108">
        <f t="shared" si="118"/>
        <v>43646.239999999998</v>
      </c>
      <c r="P339" s="140">
        <f t="shared" si="119"/>
        <v>0</v>
      </c>
    </row>
    <row r="340" spans="1:17" ht="15.75" customHeight="1" thickBot="1" x14ac:dyDescent="0.3">
      <c r="A340" s="151"/>
      <c r="B340" s="152" t="s">
        <v>282</v>
      </c>
      <c r="C340" s="113">
        <f t="shared" ref="C340:P340" si="120">SUM(C271,C284,C288,C292,C296,C300,C304,C308,C312,C316,C320,C323,C327,C331,C336)</f>
        <v>6737173</v>
      </c>
      <c r="D340" s="114">
        <f t="shared" si="120"/>
        <v>4511300</v>
      </c>
      <c r="E340" s="113">
        <f t="shared" si="120"/>
        <v>10062235</v>
      </c>
      <c r="F340" s="114">
        <f t="shared" si="120"/>
        <v>9144311.7699999996</v>
      </c>
      <c r="G340" s="113">
        <f t="shared" si="120"/>
        <v>66384.62</v>
      </c>
      <c r="H340" s="114">
        <f t="shared" si="120"/>
        <v>0</v>
      </c>
      <c r="I340" s="113">
        <f t="shared" si="120"/>
        <v>307700</v>
      </c>
      <c r="J340" s="114">
        <f t="shared" si="120"/>
        <v>0</v>
      </c>
      <c r="K340" s="113">
        <f t="shared" si="120"/>
        <v>0</v>
      </c>
      <c r="L340" s="114">
        <f t="shared" si="120"/>
        <v>0</v>
      </c>
      <c r="M340" s="113">
        <f t="shared" si="120"/>
        <v>24921.9</v>
      </c>
      <c r="N340" s="114">
        <f t="shared" si="120"/>
        <v>0</v>
      </c>
      <c r="O340" s="113">
        <f t="shared" si="120"/>
        <v>17198414.52</v>
      </c>
      <c r="P340" s="272">
        <f t="shared" si="120"/>
        <v>13655611.77</v>
      </c>
      <c r="Q340" s="273"/>
    </row>
    <row r="341" spans="1:17" ht="15.75" customHeight="1" thickBot="1" x14ac:dyDescent="0.3">
      <c r="A341" s="328" t="s">
        <v>284</v>
      </c>
      <c r="B341" s="329"/>
      <c r="C341" s="329"/>
      <c r="D341" s="329"/>
      <c r="E341" s="329"/>
      <c r="F341" s="329"/>
      <c r="G341" s="329"/>
      <c r="H341" s="329"/>
      <c r="I341" s="329"/>
      <c r="J341" s="329"/>
      <c r="K341" s="329"/>
      <c r="L341" s="329"/>
      <c r="M341" s="329"/>
      <c r="N341" s="329"/>
      <c r="O341" s="329"/>
      <c r="P341" s="330"/>
    </row>
    <row r="342" spans="1:17" x14ac:dyDescent="0.25">
      <c r="A342" s="154" t="s">
        <v>58</v>
      </c>
      <c r="B342" s="194" t="s">
        <v>78</v>
      </c>
      <c r="C342" s="106">
        <v>94900</v>
      </c>
      <c r="D342" s="261">
        <v>91100</v>
      </c>
      <c r="E342" s="123"/>
      <c r="F342" s="156"/>
      <c r="G342" s="123"/>
      <c r="H342" s="208"/>
      <c r="I342" s="106"/>
      <c r="J342" s="261"/>
      <c r="K342" s="123"/>
      <c r="L342" s="156"/>
      <c r="M342" s="123"/>
      <c r="N342" s="262"/>
      <c r="O342" s="123">
        <f>SUM(C342,E342,G342,I342,K342,M342)</f>
        <v>94900</v>
      </c>
      <c r="P342" s="131">
        <f>D342+F342+H342+J342+L342+N342</f>
        <v>91100</v>
      </c>
    </row>
    <row r="343" spans="1:17" ht="14.25" customHeight="1" x14ac:dyDescent="0.25">
      <c r="A343" s="157"/>
      <c r="B343" s="170" t="s">
        <v>125</v>
      </c>
      <c r="C343" s="106">
        <f t="shared" ref="C343:P343" si="121">SUM(C344:C375)</f>
        <v>4545400</v>
      </c>
      <c r="D343" s="178">
        <f t="shared" si="121"/>
        <v>3539500</v>
      </c>
      <c r="E343" s="106">
        <f t="shared" si="121"/>
        <v>505005</v>
      </c>
      <c r="F343" s="131">
        <f t="shared" si="121"/>
        <v>451194</v>
      </c>
      <c r="G343" s="106">
        <f t="shared" si="121"/>
        <v>0</v>
      </c>
      <c r="H343" s="224">
        <f t="shared" si="121"/>
        <v>0</v>
      </c>
      <c r="I343" s="106">
        <f t="shared" si="121"/>
        <v>45600</v>
      </c>
      <c r="J343" s="178">
        <f t="shared" si="121"/>
        <v>0</v>
      </c>
      <c r="K343" s="106">
        <f t="shared" si="121"/>
        <v>0</v>
      </c>
      <c r="L343" s="131">
        <f t="shared" si="121"/>
        <v>0</v>
      </c>
      <c r="M343" s="106">
        <f t="shared" si="121"/>
        <v>886608.69</v>
      </c>
      <c r="N343" s="224">
        <f t="shared" si="121"/>
        <v>0</v>
      </c>
      <c r="O343" s="106">
        <f t="shared" si="121"/>
        <v>5982613.6900000004</v>
      </c>
      <c r="P343" s="131">
        <f t="shared" si="121"/>
        <v>3990694</v>
      </c>
    </row>
    <row r="344" spans="1:17" ht="13.5" customHeight="1" x14ac:dyDescent="0.25">
      <c r="A344" s="157" t="s">
        <v>58</v>
      </c>
      <c r="B344" s="164" t="s">
        <v>126</v>
      </c>
      <c r="C344" s="108">
        <v>235000</v>
      </c>
      <c r="D344" s="147">
        <v>188900</v>
      </c>
      <c r="E344" s="108"/>
      <c r="F344" s="122"/>
      <c r="G344" s="108"/>
      <c r="H344" s="207"/>
      <c r="I344" s="108"/>
      <c r="J344" s="147"/>
      <c r="K344" s="108"/>
      <c r="L344" s="122"/>
      <c r="M344" s="108"/>
      <c r="N344" s="207"/>
      <c r="O344" s="139">
        <f t="shared" ref="O344:O400" si="122">SUM(C344,E344,G344,I344,K344,M344)</f>
        <v>235000</v>
      </c>
      <c r="P344" s="122">
        <f>SUM(D344,F344,H344,J344,L344,N344)</f>
        <v>188900</v>
      </c>
    </row>
    <row r="345" spans="1:17" ht="14.25" customHeight="1" x14ac:dyDescent="0.25">
      <c r="A345" s="157" t="s">
        <v>58</v>
      </c>
      <c r="B345" s="164" t="s">
        <v>285</v>
      </c>
      <c r="C345" s="108">
        <v>2442600</v>
      </c>
      <c r="D345" s="147">
        <v>2164000</v>
      </c>
      <c r="E345" s="108"/>
      <c r="F345" s="122"/>
      <c r="G345" s="108"/>
      <c r="H345" s="207"/>
      <c r="I345" s="108">
        <v>45600</v>
      </c>
      <c r="J345" s="147"/>
      <c r="K345" s="108"/>
      <c r="L345" s="122"/>
      <c r="M345" s="108">
        <v>19928.45</v>
      </c>
      <c r="N345" s="207"/>
      <c r="O345" s="139">
        <f t="shared" si="122"/>
        <v>2508128.4500000002</v>
      </c>
      <c r="P345" s="122">
        <f t="shared" ref="P345:P401" si="123">SUM(D345,F345,H345,J345,L345,N345)</f>
        <v>2164000</v>
      </c>
    </row>
    <row r="346" spans="1:17" ht="25.2" customHeight="1" x14ac:dyDescent="0.25">
      <c r="A346" s="157" t="s">
        <v>58</v>
      </c>
      <c r="B346" s="195" t="s">
        <v>517</v>
      </c>
      <c r="C346" s="108">
        <v>2000</v>
      </c>
      <c r="D346" s="147"/>
      <c r="E346" s="108"/>
      <c r="F346" s="122"/>
      <c r="G346" s="108"/>
      <c r="H346" s="207"/>
      <c r="I346" s="108"/>
      <c r="J346" s="147"/>
      <c r="K346" s="108"/>
      <c r="L346" s="122"/>
      <c r="M346" s="108"/>
      <c r="N346" s="207"/>
      <c r="O346" s="139">
        <f t="shared" si="122"/>
        <v>2000</v>
      </c>
      <c r="P346" s="122">
        <f t="shared" si="123"/>
        <v>0</v>
      </c>
    </row>
    <row r="347" spans="1:17" ht="25.5" customHeight="1" x14ac:dyDescent="0.25">
      <c r="A347" s="157" t="s">
        <v>58</v>
      </c>
      <c r="B347" s="195" t="s">
        <v>50</v>
      </c>
      <c r="C347" s="108"/>
      <c r="D347" s="147"/>
      <c r="E347" s="108">
        <v>500</v>
      </c>
      <c r="F347" s="122">
        <v>493</v>
      </c>
      <c r="G347" s="108"/>
      <c r="H347" s="207"/>
      <c r="I347" s="108"/>
      <c r="J347" s="147"/>
      <c r="K347" s="108"/>
      <c r="L347" s="122"/>
      <c r="M347" s="108"/>
      <c r="N347" s="207"/>
      <c r="O347" s="139">
        <f t="shared" si="122"/>
        <v>500</v>
      </c>
      <c r="P347" s="122">
        <f t="shared" si="123"/>
        <v>493</v>
      </c>
    </row>
    <row r="348" spans="1:17" ht="13.5" customHeight="1" x14ac:dyDescent="0.25">
      <c r="A348" s="157" t="s">
        <v>58</v>
      </c>
      <c r="B348" s="195" t="s">
        <v>56</v>
      </c>
      <c r="C348" s="108">
        <v>41100</v>
      </c>
      <c r="D348" s="147">
        <v>31100</v>
      </c>
      <c r="E348" s="108">
        <v>27800</v>
      </c>
      <c r="F348" s="122">
        <v>27400</v>
      </c>
      <c r="G348" s="108"/>
      <c r="H348" s="207"/>
      <c r="I348" s="108"/>
      <c r="J348" s="147"/>
      <c r="K348" s="108"/>
      <c r="L348" s="122"/>
      <c r="M348" s="108"/>
      <c r="N348" s="207"/>
      <c r="O348" s="139">
        <f t="shared" si="122"/>
        <v>68900</v>
      </c>
      <c r="P348" s="122">
        <f t="shared" si="123"/>
        <v>58500</v>
      </c>
    </row>
    <row r="349" spans="1:17" ht="17.399999999999999" customHeight="1" x14ac:dyDescent="0.25">
      <c r="A349" s="157" t="s">
        <v>58</v>
      </c>
      <c r="B349" s="195" t="s">
        <v>51</v>
      </c>
      <c r="C349" s="108">
        <v>20900</v>
      </c>
      <c r="D349" s="147">
        <v>20200</v>
      </c>
      <c r="E349" s="108">
        <v>8000</v>
      </c>
      <c r="F349" s="122">
        <v>7886</v>
      </c>
      <c r="G349" s="108"/>
      <c r="H349" s="207"/>
      <c r="I349" s="108"/>
      <c r="J349" s="147"/>
      <c r="K349" s="108"/>
      <c r="L349" s="122"/>
      <c r="M349" s="108"/>
      <c r="N349" s="207"/>
      <c r="O349" s="139">
        <f t="shared" si="122"/>
        <v>28900</v>
      </c>
      <c r="P349" s="122">
        <f t="shared" si="123"/>
        <v>28086</v>
      </c>
    </row>
    <row r="350" spans="1:17" ht="15" customHeight="1" x14ac:dyDescent="0.25">
      <c r="A350" s="157" t="s">
        <v>58</v>
      </c>
      <c r="B350" s="195" t="s">
        <v>428</v>
      </c>
      <c r="C350" s="108">
        <v>25800</v>
      </c>
      <c r="D350" s="147">
        <v>21700</v>
      </c>
      <c r="E350" s="108">
        <v>28700</v>
      </c>
      <c r="F350" s="122">
        <v>25300</v>
      </c>
      <c r="G350" s="108"/>
      <c r="H350" s="207"/>
      <c r="I350" s="108"/>
      <c r="J350" s="147"/>
      <c r="K350" s="108"/>
      <c r="L350" s="122"/>
      <c r="M350" s="108"/>
      <c r="N350" s="207"/>
      <c r="O350" s="139">
        <f t="shared" si="122"/>
        <v>54500</v>
      </c>
      <c r="P350" s="122">
        <f t="shared" si="123"/>
        <v>47000</v>
      </c>
    </row>
    <row r="351" spans="1:17" ht="13.5" customHeight="1" x14ac:dyDescent="0.25">
      <c r="A351" s="157" t="s">
        <v>58</v>
      </c>
      <c r="B351" s="195" t="s">
        <v>81</v>
      </c>
      <c r="C351" s="108"/>
      <c r="D351" s="147"/>
      <c r="E351" s="108">
        <v>19500</v>
      </c>
      <c r="F351" s="122">
        <v>19172</v>
      </c>
      <c r="G351" s="108"/>
      <c r="H351" s="207"/>
      <c r="I351" s="108"/>
      <c r="J351" s="147"/>
      <c r="K351" s="108"/>
      <c r="L351" s="122"/>
      <c r="M351" s="108"/>
      <c r="N351" s="207"/>
      <c r="O351" s="139">
        <f t="shared" si="122"/>
        <v>19500</v>
      </c>
      <c r="P351" s="122">
        <f t="shared" si="123"/>
        <v>19172</v>
      </c>
    </row>
    <row r="352" spans="1:17" ht="15" customHeight="1" x14ac:dyDescent="0.25">
      <c r="A352" s="157" t="s">
        <v>58</v>
      </c>
      <c r="B352" s="195" t="s">
        <v>429</v>
      </c>
      <c r="C352" s="108">
        <v>19600</v>
      </c>
      <c r="D352" s="147">
        <v>18900</v>
      </c>
      <c r="E352" s="108">
        <v>7800</v>
      </c>
      <c r="F352" s="122">
        <v>7690</v>
      </c>
      <c r="G352" s="108"/>
      <c r="H352" s="207"/>
      <c r="I352" s="108"/>
      <c r="J352" s="147"/>
      <c r="K352" s="108"/>
      <c r="L352" s="122"/>
      <c r="M352" s="108"/>
      <c r="N352" s="207"/>
      <c r="O352" s="139">
        <f t="shared" si="122"/>
        <v>27400</v>
      </c>
      <c r="P352" s="122">
        <f t="shared" si="123"/>
        <v>26590</v>
      </c>
    </row>
    <row r="353" spans="1:16" ht="15" customHeight="1" x14ac:dyDescent="0.25">
      <c r="A353" s="157" t="s">
        <v>58</v>
      </c>
      <c r="B353" s="195" t="s">
        <v>52</v>
      </c>
      <c r="C353" s="108"/>
      <c r="D353" s="147"/>
      <c r="E353" s="108">
        <v>2100</v>
      </c>
      <c r="F353" s="122">
        <v>2070</v>
      </c>
      <c r="G353" s="108"/>
      <c r="H353" s="207"/>
      <c r="I353" s="108"/>
      <c r="J353" s="147"/>
      <c r="K353" s="108"/>
      <c r="L353" s="122"/>
      <c r="M353" s="108"/>
      <c r="N353" s="207"/>
      <c r="O353" s="139">
        <f t="shared" si="122"/>
        <v>2100</v>
      </c>
      <c r="P353" s="122">
        <f t="shared" si="123"/>
        <v>2070</v>
      </c>
    </row>
    <row r="354" spans="1:16" ht="25.5" customHeight="1" x14ac:dyDescent="0.25">
      <c r="A354" s="157" t="s">
        <v>58</v>
      </c>
      <c r="B354" s="195" t="s">
        <v>430</v>
      </c>
      <c r="C354" s="108"/>
      <c r="D354" s="147"/>
      <c r="E354" s="108">
        <v>1000</v>
      </c>
      <c r="F354" s="122">
        <v>985</v>
      </c>
      <c r="G354" s="108"/>
      <c r="H354" s="207"/>
      <c r="I354" s="108"/>
      <c r="J354" s="147"/>
      <c r="K354" s="108"/>
      <c r="L354" s="122"/>
      <c r="M354" s="108"/>
      <c r="N354" s="207"/>
      <c r="O354" s="139">
        <f t="shared" si="122"/>
        <v>1000</v>
      </c>
      <c r="P354" s="122">
        <f t="shared" si="123"/>
        <v>985</v>
      </c>
    </row>
    <row r="355" spans="1:16" ht="14.25" customHeight="1" x14ac:dyDescent="0.25">
      <c r="A355" s="157" t="s">
        <v>58</v>
      </c>
      <c r="B355" s="164" t="s">
        <v>465</v>
      </c>
      <c r="C355" s="108">
        <v>170000</v>
      </c>
      <c r="D355" s="147"/>
      <c r="E355" s="108"/>
      <c r="F355" s="122"/>
      <c r="G355" s="108"/>
      <c r="H355" s="207"/>
      <c r="I355" s="108"/>
      <c r="J355" s="147"/>
      <c r="K355" s="108"/>
      <c r="L355" s="122"/>
      <c r="M355" s="108"/>
      <c r="N355" s="207"/>
      <c r="O355" s="139">
        <f t="shared" si="122"/>
        <v>170000</v>
      </c>
      <c r="P355" s="122">
        <f t="shared" si="123"/>
        <v>0</v>
      </c>
    </row>
    <row r="356" spans="1:16" ht="14.25" customHeight="1" x14ac:dyDescent="0.25">
      <c r="A356" s="157" t="s">
        <v>58</v>
      </c>
      <c r="B356" s="164" t="s">
        <v>466</v>
      </c>
      <c r="C356" s="108"/>
      <c r="D356" s="147"/>
      <c r="E356" s="108"/>
      <c r="F356" s="122"/>
      <c r="G356" s="108"/>
      <c r="H356" s="207"/>
      <c r="I356" s="108"/>
      <c r="J356" s="147"/>
      <c r="K356" s="108"/>
      <c r="L356" s="122"/>
      <c r="M356" s="108">
        <v>866680.24</v>
      </c>
      <c r="N356" s="207"/>
      <c r="O356" s="139">
        <f t="shared" si="122"/>
        <v>866680.24</v>
      </c>
      <c r="P356" s="122">
        <f t="shared" si="123"/>
        <v>0</v>
      </c>
    </row>
    <row r="357" spans="1:16" x14ac:dyDescent="0.25">
      <c r="A357" s="157" t="s">
        <v>58</v>
      </c>
      <c r="B357" s="195" t="s">
        <v>287</v>
      </c>
      <c r="C357" s="108">
        <v>17000</v>
      </c>
      <c r="D357" s="147"/>
      <c r="E357" s="108"/>
      <c r="F357" s="122"/>
      <c r="G357" s="108"/>
      <c r="H357" s="207"/>
      <c r="I357" s="108"/>
      <c r="J357" s="147"/>
      <c r="K357" s="108"/>
      <c r="L357" s="122"/>
      <c r="M357" s="108"/>
      <c r="N357" s="207"/>
      <c r="O357" s="139">
        <f t="shared" si="122"/>
        <v>17000</v>
      </c>
      <c r="P357" s="122">
        <f t="shared" si="123"/>
        <v>0</v>
      </c>
    </row>
    <row r="358" spans="1:16" ht="12.75" customHeight="1" x14ac:dyDescent="0.25">
      <c r="A358" s="157" t="s">
        <v>58</v>
      </c>
      <c r="B358" s="195" t="s">
        <v>286</v>
      </c>
      <c r="C358" s="108">
        <v>21000</v>
      </c>
      <c r="D358" s="147"/>
      <c r="E358" s="108"/>
      <c r="F358" s="122"/>
      <c r="G358" s="108"/>
      <c r="H358" s="207"/>
      <c r="I358" s="108"/>
      <c r="J358" s="147"/>
      <c r="K358" s="108"/>
      <c r="L358" s="122"/>
      <c r="M358" s="108"/>
      <c r="N358" s="207"/>
      <c r="O358" s="139">
        <f t="shared" si="122"/>
        <v>21000</v>
      </c>
      <c r="P358" s="122">
        <f t="shared" si="123"/>
        <v>0</v>
      </c>
    </row>
    <row r="359" spans="1:16" x14ac:dyDescent="0.25">
      <c r="A359" s="157" t="s">
        <v>58</v>
      </c>
      <c r="B359" s="195" t="s">
        <v>289</v>
      </c>
      <c r="C359" s="108">
        <v>164400</v>
      </c>
      <c r="D359" s="147"/>
      <c r="E359" s="108"/>
      <c r="F359" s="122"/>
      <c r="G359" s="108"/>
      <c r="H359" s="207"/>
      <c r="I359" s="108"/>
      <c r="J359" s="147"/>
      <c r="K359" s="108"/>
      <c r="L359" s="122"/>
      <c r="M359" s="108"/>
      <c r="N359" s="207"/>
      <c r="O359" s="139">
        <f t="shared" si="122"/>
        <v>164400</v>
      </c>
      <c r="P359" s="122">
        <f t="shared" si="123"/>
        <v>0</v>
      </c>
    </row>
    <row r="360" spans="1:16" x14ac:dyDescent="0.25">
      <c r="A360" s="157" t="s">
        <v>58</v>
      </c>
      <c r="B360" s="195" t="s">
        <v>288</v>
      </c>
      <c r="C360" s="108">
        <v>21400</v>
      </c>
      <c r="D360" s="147"/>
      <c r="E360" s="108"/>
      <c r="F360" s="122"/>
      <c r="G360" s="108"/>
      <c r="H360" s="207"/>
      <c r="I360" s="108"/>
      <c r="J360" s="147"/>
      <c r="K360" s="108"/>
      <c r="L360" s="122"/>
      <c r="M360" s="108"/>
      <c r="N360" s="207"/>
      <c r="O360" s="139">
        <f t="shared" si="122"/>
        <v>21400</v>
      </c>
      <c r="P360" s="122">
        <f t="shared" si="123"/>
        <v>0</v>
      </c>
    </row>
    <row r="361" spans="1:16" ht="26.4" x14ac:dyDescent="0.25">
      <c r="A361" s="157" t="s">
        <v>58</v>
      </c>
      <c r="B361" s="195" t="s">
        <v>527</v>
      </c>
      <c r="C361" s="108">
        <f>120000-30000</f>
        <v>90000</v>
      </c>
      <c r="D361" s="147"/>
      <c r="E361" s="108"/>
      <c r="F361" s="122"/>
      <c r="G361" s="108"/>
      <c r="H361" s="207"/>
      <c r="I361" s="108"/>
      <c r="J361" s="147"/>
      <c r="K361" s="108"/>
      <c r="L361" s="122"/>
      <c r="M361" s="108"/>
      <c r="N361" s="207"/>
      <c r="O361" s="139">
        <f t="shared" si="122"/>
        <v>90000</v>
      </c>
      <c r="P361" s="122">
        <f t="shared" si="123"/>
        <v>0</v>
      </c>
    </row>
    <row r="362" spans="1:16" x14ac:dyDescent="0.25">
      <c r="A362" s="157" t="s">
        <v>58</v>
      </c>
      <c r="B362" s="195" t="s">
        <v>361</v>
      </c>
      <c r="C362" s="108">
        <v>3000</v>
      </c>
      <c r="D362" s="147"/>
      <c r="E362" s="108"/>
      <c r="F362" s="122"/>
      <c r="G362" s="108"/>
      <c r="H362" s="207"/>
      <c r="I362" s="108"/>
      <c r="J362" s="147"/>
      <c r="K362" s="108"/>
      <c r="L362" s="122"/>
      <c r="M362" s="108"/>
      <c r="N362" s="207"/>
      <c r="O362" s="139">
        <f t="shared" ref="O362" si="124">SUM(C362,E362,G362,I362,K362,M362)</f>
        <v>3000</v>
      </c>
      <c r="P362" s="122">
        <f t="shared" ref="P362" si="125">SUM(D362,F362,H362,J362,L362,N362)</f>
        <v>0</v>
      </c>
    </row>
    <row r="363" spans="1:16" ht="14.25" customHeight="1" x14ac:dyDescent="0.25">
      <c r="A363" s="157" t="s">
        <v>294</v>
      </c>
      <c r="B363" s="164" t="s">
        <v>53</v>
      </c>
      <c r="C363" s="108"/>
      <c r="D363" s="147"/>
      <c r="E363" s="108">
        <v>29900</v>
      </c>
      <c r="F363" s="122">
        <v>16524</v>
      </c>
      <c r="G363" s="108"/>
      <c r="H363" s="207"/>
      <c r="I363" s="108"/>
      <c r="J363" s="147"/>
      <c r="K363" s="108"/>
      <c r="L363" s="122"/>
      <c r="M363" s="108"/>
      <c r="N363" s="207"/>
      <c r="O363" s="139">
        <f t="shared" si="122"/>
        <v>29900</v>
      </c>
      <c r="P363" s="122">
        <f t="shared" si="123"/>
        <v>16524</v>
      </c>
    </row>
    <row r="364" spans="1:16" ht="14.25" customHeight="1" x14ac:dyDescent="0.25">
      <c r="A364" s="157" t="s">
        <v>294</v>
      </c>
      <c r="B364" s="164" t="s">
        <v>342</v>
      </c>
      <c r="C364" s="108"/>
      <c r="D364" s="147"/>
      <c r="E364" s="108">
        <v>14200</v>
      </c>
      <c r="F364" s="122">
        <v>12500</v>
      </c>
      <c r="G364" s="108"/>
      <c r="H364" s="207"/>
      <c r="I364" s="108"/>
      <c r="J364" s="147"/>
      <c r="K364" s="108"/>
      <c r="L364" s="122"/>
      <c r="M364" s="108"/>
      <c r="N364" s="207"/>
      <c r="O364" s="139">
        <f t="shared" si="122"/>
        <v>14200</v>
      </c>
      <c r="P364" s="122">
        <f t="shared" si="123"/>
        <v>12500</v>
      </c>
    </row>
    <row r="365" spans="1:16" x14ac:dyDescent="0.25">
      <c r="A365" s="157" t="s">
        <v>59</v>
      </c>
      <c r="B365" s="195" t="s">
        <v>361</v>
      </c>
      <c r="C365" s="108">
        <v>4300</v>
      </c>
      <c r="D365" s="147"/>
      <c r="E365" s="108"/>
      <c r="F365" s="122"/>
      <c r="G365" s="108"/>
      <c r="H365" s="207"/>
      <c r="I365" s="108"/>
      <c r="J365" s="147"/>
      <c r="K365" s="108"/>
      <c r="L365" s="122"/>
      <c r="M365" s="108"/>
      <c r="N365" s="207"/>
      <c r="O365" s="139">
        <f t="shared" si="122"/>
        <v>4300</v>
      </c>
      <c r="P365" s="122">
        <f t="shared" si="123"/>
        <v>0</v>
      </c>
    </row>
    <row r="366" spans="1:16" ht="14.25" customHeight="1" x14ac:dyDescent="0.25">
      <c r="A366" s="157" t="s">
        <v>59</v>
      </c>
      <c r="B366" s="164" t="s">
        <v>285</v>
      </c>
      <c r="C366" s="108">
        <v>29000</v>
      </c>
      <c r="D366" s="147">
        <v>28400</v>
      </c>
      <c r="E366" s="108"/>
      <c r="F366" s="122"/>
      <c r="G366" s="108"/>
      <c r="H366" s="207"/>
      <c r="I366" s="108"/>
      <c r="J366" s="147"/>
      <c r="K366" s="108"/>
      <c r="L366" s="122"/>
      <c r="M366" s="108"/>
      <c r="N366" s="207"/>
      <c r="O366" s="139">
        <f t="shared" ref="O366" si="126">SUM(C366,E366,G366,I366,K366,M366)</f>
        <v>29000</v>
      </c>
      <c r="P366" s="122">
        <f t="shared" ref="P366" si="127">SUM(D366,F366,H366,J366,L366,N366)</f>
        <v>28400</v>
      </c>
    </row>
    <row r="367" spans="1:16" ht="14.25" customHeight="1" x14ac:dyDescent="0.25">
      <c r="A367" s="157" t="s">
        <v>60</v>
      </c>
      <c r="B367" s="164" t="s">
        <v>285</v>
      </c>
      <c r="C367" s="108">
        <v>239600</v>
      </c>
      <c r="D367" s="147">
        <v>231400</v>
      </c>
      <c r="E367" s="108"/>
      <c r="F367" s="122"/>
      <c r="G367" s="108"/>
      <c r="H367" s="207"/>
      <c r="I367" s="108"/>
      <c r="J367" s="147"/>
      <c r="K367" s="108"/>
      <c r="L367" s="122"/>
      <c r="M367" s="108"/>
      <c r="N367" s="207"/>
      <c r="O367" s="139">
        <f t="shared" si="122"/>
        <v>239600</v>
      </c>
      <c r="P367" s="122">
        <f t="shared" si="123"/>
        <v>231400</v>
      </c>
    </row>
    <row r="368" spans="1:16" ht="14.25" customHeight="1" x14ac:dyDescent="0.25">
      <c r="A368" s="157" t="s">
        <v>60</v>
      </c>
      <c r="B368" s="164" t="s">
        <v>431</v>
      </c>
      <c r="C368" s="108">
        <v>28000</v>
      </c>
      <c r="D368" s="147"/>
      <c r="E368" s="108">
        <v>333000</v>
      </c>
      <c r="F368" s="122">
        <v>306400</v>
      </c>
      <c r="G368" s="108"/>
      <c r="H368" s="207"/>
      <c r="I368" s="108"/>
      <c r="J368" s="147"/>
      <c r="K368" s="108"/>
      <c r="L368" s="122"/>
      <c r="M368" s="108"/>
      <c r="N368" s="207"/>
      <c r="O368" s="139">
        <f t="shared" si="122"/>
        <v>361000</v>
      </c>
      <c r="P368" s="122">
        <f t="shared" si="123"/>
        <v>306400</v>
      </c>
    </row>
    <row r="369" spans="1:16" ht="15.6" customHeight="1" x14ac:dyDescent="0.25">
      <c r="A369" s="157" t="s">
        <v>60</v>
      </c>
      <c r="B369" s="195" t="s">
        <v>371</v>
      </c>
      <c r="C369" s="108">
        <v>5000</v>
      </c>
      <c r="D369" s="147"/>
      <c r="E369" s="108">
        <v>7172</v>
      </c>
      <c r="F369" s="122"/>
      <c r="G369" s="108"/>
      <c r="H369" s="207"/>
      <c r="I369" s="108"/>
      <c r="J369" s="147"/>
      <c r="K369" s="108"/>
      <c r="L369" s="122"/>
      <c r="M369" s="108"/>
      <c r="N369" s="207"/>
      <c r="O369" s="139">
        <f t="shared" si="122"/>
        <v>12172</v>
      </c>
      <c r="P369" s="122">
        <f t="shared" si="123"/>
        <v>0</v>
      </c>
    </row>
    <row r="370" spans="1:16" ht="14.25" customHeight="1" x14ac:dyDescent="0.25">
      <c r="A370" s="157" t="s">
        <v>67</v>
      </c>
      <c r="B370" s="164" t="s">
        <v>285</v>
      </c>
      <c r="C370" s="108">
        <v>11800</v>
      </c>
      <c r="D370" s="147">
        <v>11400</v>
      </c>
      <c r="E370" s="108"/>
      <c r="F370" s="122"/>
      <c r="G370" s="108"/>
      <c r="H370" s="207"/>
      <c r="I370" s="108"/>
      <c r="J370" s="147"/>
      <c r="K370" s="108"/>
      <c r="L370" s="122"/>
      <c r="M370" s="108"/>
      <c r="N370" s="207"/>
      <c r="O370" s="139">
        <f t="shared" si="122"/>
        <v>11800</v>
      </c>
      <c r="P370" s="122">
        <f t="shared" si="123"/>
        <v>11400</v>
      </c>
    </row>
    <row r="371" spans="1:16" ht="14.25" customHeight="1" x14ac:dyDescent="0.25">
      <c r="A371" s="157" t="s">
        <v>63</v>
      </c>
      <c r="B371" s="164" t="s">
        <v>285</v>
      </c>
      <c r="C371" s="108">
        <v>78100</v>
      </c>
      <c r="D371" s="147">
        <v>75700</v>
      </c>
      <c r="E371" s="108"/>
      <c r="F371" s="122"/>
      <c r="G371" s="108"/>
      <c r="H371" s="207"/>
      <c r="I371" s="108"/>
      <c r="J371" s="147"/>
      <c r="K371" s="108"/>
      <c r="L371" s="122"/>
      <c r="M371" s="108"/>
      <c r="N371" s="207"/>
      <c r="O371" s="139">
        <f t="shared" si="122"/>
        <v>78100</v>
      </c>
      <c r="P371" s="122">
        <f t="shared" si="123"/>
        <v>75700</v>
      </c>
    </row>
    <row r="372" spans="1:16" ht="14.25" customHeight="1" x14ac:dyDescent="0.25">
      <c r="A372" s="157" t="s">
        <v>64</v>
      </c>
      <c r="B372" s="164" t="s">
        <v>285</v>
      </c>
      <c r="C372" s="108">
        <v>188600</v>
      </c>
      <c r="D372" s="147">
        <v>161800</v>
      </c>
      <c r="E372" s="108"/>
      <c r="F372" s="122"/>
      <c r="G372" s="108"/>
      <c r="H372" s="207"/>
      <c r="I372" s="108"/>
      <c r="J372" s="147"/>
      <c r="K372" s="108"/>
      <c r="L372" s="122"/>
      <c r="M372" s="108"/>
      <c r="N372" s="207"/>
      <c r="O372" s="139">
        <f t="shared" si="122"/>
        <v>188600</v>
      </c>
      <c r="P372" s="122">
        <f t="shared" si="123"/>
        <v>161800</v>
      </c>
    </row>
    <row r="373" spans="1:16" ht="24" customHeight="1" x14ac:dyDescent="0.25">
      <c r="A373" s="157" t="s">
        <v>64</v>
      </c>
      <c r="B373" s="195" t="s">
        <v>416</v>
      </c>
      <c r="C373" s="108"/>
      <c r="D373" s="147"/>
      <c r="E373" s="108">
        <v>25333</v>
      </c>
      <c r="F373" s="122">
        <v>24774</v>
      </c>
      <c r="G373" s="108"/>
      <c r="H373" s="207"/>
      <c r="I373" s="108"/>
      <c r="J373" s="147"/>
      <c r="K373" s="108"/>
      <c r="L373" s="122"/>
      <c r="M373" s="108"/>
      <c r="N373" s="207"/>
      <c r="O373" s="139">
        <f t="shared" ref="O373:O374" si="128">SUM(C373,E373,G373,I373,K373,M373)</f>
        <v>25333</v>
      </c>
      <c r="P373" s="122">
        <f t="shared" si="123"/>
        <v>24774</v>
      </c>
    </row>
    <row r="374" spans="1:16" ht="24" customHeight="1" x14ac:dyDescent="0.25">
      <c r="A374" s="157" t="s">
        <v>65</v>
      </c>
      <c r="B374" s="195" t="s">
        <v>518</v>
      </c>
      <c r="C374" s="108">
        <v>591700</v>
      </c>
      <c r="D374" s="147">
        <v>501200</v>
      </c>
      <c r="E374" s="108"/>
      <c r="F374" s="122"/>
      <c r="G374" s="108"/>
      <c r="H374" s="207"/>
      <c r="I374" s="108"/>
      <c r="J374" s="147"/>
      <c r="K374" s="108"/>
      <c r="L374" s="122"/>
      <c r="M374" s="108"/>
      <c r="N374" s="207"/>
      <c r="O374" s="139">
        <f t="shared" si="128"/>
        <v>591700</v>
      </c>
      <c r="P374" s="122">
        <f t="shared" si="123"/>
        <v>501200</v>
      </c>
    </row>
    <row r="375" spans="1:16" ht="14.25" customHeight="1" x14ac:dyDescent="0.25">
      <c r="A375" s="157" t="s">
        <v>65</v>
      </c>
      <c r="B375" s="164" t="s">
        <v>285</v>
      </c>
      <c r="C375" s="108">
        <v>95500</v>
      </c>
      <c r="D375" s="147">
        <v>84800</v>
      </c>
      <c r="E375" s="108"/>
      <c r="F375" s="122"/>
      <c r="G375" s="108"/>
      <c r="H375" s="207"/>
      <c r="I375" s="108"/>
      <c r="J375" s="147"/>
      <c r="K375" s="108"/>
      <c r="L375" s="122"/>
      <c r="M375" s="108"/>
      <c r="N375" s="207"/>
      <c r="O375" s="139">
        <f t="shared" si="122"/>
        <v>95500</v>
      </c>
      <c r="P375" s="122">
        <f t="shared" si="123"/>
        <v>84800</v>
      </c>
    </row>
    <row r="376" spans="1:16" ht="15.75" customHeight="1" x14ac:dyDescent="0.25">
      <c r="A376" s="157"/>
      <c r="B376" s="170" t="s">
        <v>147</v>
      </c>
      <c r="C376" s="106">
        <f t="shared" ref="C376:O376" si="129">SUM(C377:C377)</f>
        <v>25000</v>
      </c>
      <c r="D376" s="178">
        <f t="shared" si="129"/>
        <v>0</v>
      </c>
      <c r="E376" s="106">
        <f t="shared" si="129"/>
        <v>0</v>
      </c>
      <c r="F376" s="131">
        <f t="shared" si="129"/>
        <v>0</v>
      </c>
      <c r="G376" s="106">
        <f t="shared" si="129"/>
        <v>0</v>
      </c>
      <c r="H376" s="224">
        <f t="shared" si="129"/>
        <v>0</v>
      </c>
      <c r="I376" s="106">
        <f t="shared" si="129"/>
        <v>0</v>
      </c>
      <c r="J376" s="178">
        <f t="shared" si="129"/>
        <v>0</v>
      </c>
      <c r="K376" s="106">
        <f t="shared" si="129"/>
        <v>0</v>
      </c>
      <c r="L376" s="131">
        <f t="shared" si="129"/>
        <v>0</v>
      </c>
      <c r="M376" s="106">
        <f t="shared" si="129"/>
        <v>0</v>
      </c>
      <c r="N376" s="224">
        <f t="shared" si="129"/>
        <v>0</v>
      </c>
      <c r="O376" s="106">
        <f t="shared" si="129"/>
        <v>25000</v>
      </c>
      <c r="P376" s="122">
        <f t="shared" si="123"/>
        <v>0</v>
      </c>
    </row>
    <row r="377" spans="1:16" ht="15.75" customHeight="1" x14ac:dyDescent="0.25">
      <c r="A377" s="157" t="s">
        <v>58</v>
      </c>
      <c r="B377" s="164" t="s">
        <v>291</v>
      </c>
      <c r="C377" s="108">
        <v>25000</v>
      </c>
      <c r="D377" s="147"/>
      <c r="E377" s="108"/>
      <c r="F377" s="122"/>
      <c r="G377" s="108"/>
      <c r="H377" s="207"/>
      <c r="I377" s="108"/>
      <c r="J377" s="147"/>
      <c r="K377" s="108"/>
      <c r="L377" s="122"/>
      <c r="M377" s="108"/>
      <c r="N377" s="207"/>
      <c r="O377" s="160">
        <f t="shared" si="122"/>
        <v>25000</v>
      </c>
      <c r="P377" s="122">
        <f t="shared" si="123"/>
        <v>0</v>
      </c>
    </row>
    <row r="378" spans="1:16" ht="15.75" customHeight="1" x14ac:dyDescent="0.25">
      <c r="A378" s="157"/>
      <c r="B378" s="170" t="s">
        <v>150</v>
      </c>
      <c r="C378" s="106">
        <f t="shared" ref="C378:O378" si="130">SUM(C379:C380)</f>
        <v>13900</v>
      </c>
      <c r="D378" s="178">
        <f t="shared" si="130"/>
        <v>0</v>
      </c>
      <c r="E378" s="106">
        <f t="shared" si="130"/>
        <v>0</v>
      </c>
      <c r="F378" s="131">
        <f t="shared" si="130"/>
        <v>0</v>
      </c>
      <c r="G378" s="106">
        <f t="shared" si="130"/>
        <v>0</v>
      </c>
      <c r="H378" s="224">
        <f t="shared" si="130"/>
        <v>0</v>
      </c>
      <c r="I378" s="106">
        <f t="shared" si="130"/>
        <v>0</v>
      </c>
      <c r="J378" s="178">
        <f t="shared" si="130"/>
        <v>0</v>
      </c>
      <c r="K378" s="106">
        <f t="shared" si="130"/>
        <v>0</v>
      </c>
      <c r="L378" s="131">
        <f t="shared" si="130"/>
        <v>0</v>
      </c>
      <c r="M378" s="106">
        <f t="shared" si="130"/>
        <v>0</v>
      </c>
      <c r="N378" s="224">
        <f t="shared" si="130"/>
        <v>0</v>
      </c>
      <c r="O378" s="106">
        <f t="shared" si="130"/>
        <v>13900</v>
      </c>
      <c r="P378" s="122">
        <f t="shared" si="123"/>
        <v>0</v>
      </c>
    </row>
    <row r="379" spans="1:16" ht="15.75" customHeight="1" x14ac:dyDescent="0.25">
      <c r="A379" s="157" t="s">
        <v>58</v>
      </c>
      <c r="B379" s="164" t="s">
        <v>291</v>
      </c>
      <c r="C379" s="108">
        <v>12000</v>
      </c>
      <c r="D379" s="147"/>
      <c r="E379" s="108"/>
      <c r="F379" s="122"/>
      <c r="G379" s="108"/>
      <c r="H379" s="207"/>
      <c r="I379" s="108"/>
      <c r="J379" s="147"/>
      <c r="K379" s="108"/>
      <c r="L379" s="122"/>
      <c r="M379" s="108"/>
      <c r="N379" s="207"/>
      <c r="O379" s="160">
        <f t="shared" si="122"/>
        <v>12000</v>
      </c>
      <c r="P379" s="122">
        <f t="shared" si="123"/>
        <v>0</v>
      </c>
    </row>
    <row r="380" spans="1:16" ht="15.75" customHeight="1" x14ac:dyDescent="0.25">
      <c r="A380" s="157" t="s">
        <v>65</v>
      </c>
      <c r="B380" s="164" t="s">
        <v>291</v>
      </c>
      <c r="C380" s="108">
        <v>1900</v>
      </c>
      <c r="D380" s="147"/>
      <c r="E380" s="108"/>
      <c r="F380" s="122"/>
      <c r="G380" s="108"/>
      <c r="H380" s="207"/>
      <c r="I380" s="108"/>
      <c r="J380" s="147"/>
      <c r="K380" s="108"/>
      <c r="L380" s="122"/>
      <c r="M380" s="108"/>
      <c r="N380" s="207"/>
      <c r="O380" s="160">
        <f t="shared" si="122"/>
        <v>1900</v>
      </c>
      <c r="P380" s="122">
        <f t="shared" si="123"/>
        <v>0</v>
      </c>
    </row>
    <row r="381" spans="1:16" ht="15.75" customHeight="1" x14ac:dyDescent="0.25">
      <c r="A381" s="157"/>
      <c r="B381" s="170" t="s">
        <v>151</v>
      </c>
      <c r="C381" s="106">
        <f t="shared" ref="C381:O381" si="131">SUM(C382:C383)</f>
        <v>13000</v>
      </c>
      <c r="D381" s="178">
        <f t="shared" si="131"/>
        <v>0</v>
      </c>
      <c r="E381" s="106">
        <f t="shared" si="131"/>
        <v>0</v>
      </c>
      <c r="F381" s="131">
        <f t="shared" si="131"/>
        <v>0</v>
      </c>
      <c r="G381" s="106">
        <f t="shared" si="131"/>
        <v>0</v>
      </c>
      <c r="H381" s="224">
        <f t="shared" si="131"/>
        <v>0</v>
      </c>
      <c r="I381" s="106">
        <f t="shared" si="131"/>
        <v>0</v>
      </c>
      <c r="J381" s="178">
        <f t="shared" si="131"/>
        <v>0</v>
      </c>
      <c r="K381" s="106">
        <f t="shared" si="131"/>
        <v>0</v>
      </c>
      <c r="L381" s="131">
        <f t="shared" si="131"/>
        <v>0</v>
      </c>
      <c r="M381" s="106">
        <f t="shared" si="131"/>
        <v>0</v>
      </c>
      <c r="N381" s="224">
        <f t="shared" si="131"/>
        <v>0</v>
      </c>
      <c r="O381" s="106">
        <f t="shared" si="131"/>
        <v>13000</v>
      </c>
      <c r="P381" s="122">
        <f t="shared" si="123"/>
        <v>0</v>
      </c>
    </row>
    <row r="382" spans="1:16" ht="15.75" customHeight="1" x14ac:dyDescent="0.25">
      <c r="A382" s="157" t="s">
        <v>58</v>
      </c>
      <c r="B382" s="164" t="s">
        <v>291</v>
      </c>
      <c r="C382" s="108">
        <v>10000</v>
      </c>
      <c r="D382" s="147"/>
      <c r="E382" s="108"/>
      <c r="F382" s="122"/>
      <c r="G382" s="108"/>
      <c r="H382" s="207"/>
      <c r="I382" s="108"/>
      <c r="J382" s="147"/>
      <c r="K382" s="108"/>
      <c r="L382" s="122"/>
      <c r="M382" s="108"/>
      <c r="N382" s="207"/>
      <c r="O382" s="160">
        <f t="shared" si="122"/>
        <v>10000</v>
      </c>
      <c r="P382" s="122">
        <f t="shared" si="123"/>
        <v>0</v>
      </c>
    </row>
    <row r="383" spans="1:16" ht="15.75" customHeight="1" x14ac:dyDescent="0.25">
      <c r="A383" s="157" t="s">
        <v>65</v>
      </c>
      <c r="B383" s="164" t="s">
        <v>291</v>
      </c>
      <c r="C383" s="108">
        <v>3000</v>
      </c>
      <c r="D383" s="147"/>
      <c r="E383" s="108"/>
      <c r="F383" s="122"/>
      <c r="G383" s="108"/>
      <c r="H383" s="207"/>
      <c r="I383" s="108"/>
      <c r="J383" s="147"/>
      <c r="K383" s="108"/>
      <c r="L383" s="122"/>
      <c r="M383" s="108"/>
      <c r="N383" s="207"/>
      <c r="O383" s="160">
        <f t="shared" si="122"/>
        <v>3000</v>
      </c>
      <c r="P383" s="122">
        <f t="shared" si="123"/>
        <v>0</v>
      </c>
    </row>
    <row r="384" spans="1:16" ht="15.75" customHeight="1" x14ac:dyDescent="0.25">
      <c r="A384" s="157"/>
      <c r="B384" s="170" t="s">
        <v>152</v>
      </c>
      <c r="C384" s="106">
        <f t="shared" ref="C384:O384" si="132">SUM(C385:C386)</f>
        <v>9600</v>
      </c>
      <c r="D384" s="178">
        <f t="shared" si="132"/>
        <v>0</v>
      </c>
      <c r="E384" s="106">
        <f t="shared" si="132"/>
        <v>0</v>
      </c>
      <c r="F384" s="131">
        <f t="shared" si="132"/>
        <v>0</v>
      </c>
      <c r="G384" s="106">
        <f t="shared" si="132"/>
        <v>0</v>
      </c>
      <c r="H384" s="224">
        <f t="shared" si="132"/>
        <v>0</v>
      </c>
      <c r="I384" s="106">
        <f t="shared" si="132"/>
        <v>0</v>
      </c>
      <c r="J384" s="178">
        <f t="shared" si="132"/>
        <v>0</v>
      </c>
      <c r="K384" s="106">
        <f t="shared" si="132"/>
        <v>0</v>
      </c>
      <c r="L384" s="131">
        <f t="shared" si="132"/>
        <v>0</v>
      </c>
      <c r="M384" s="106">
        <f t="shared" si="132"/>
        <v>0</v>
      </c>
      <c r="N384" s="224">
        <f t="shared" si="132"/>
        <v>0</v>
      </c>
      <c r="O384" s="106">
        <f t="shared" si="132"/>
        <v>9600</v>
      </c>
      <c r="P384" s="122">
        <f t="shared" si="123"/>
        <v>0</v>
      </c>
    </row>
    <row r="385" spans="1:16" ht="15.75" customHeight="1" x14ac:dyDescent="0.25">
      <c r="A385" s="157" t="s">
        <v>58</v>
      </c>
      <c r="B385" s="164" t="s">
        <v>291</v>
      </c>
      <c r="C385" s="108">
        <v>7000</v>
      </c>
      <c r="D385" s="147"/>
      <c r="E385" s="108"/>
      <c r="F385" s="122"/>
      <c r="G385" s="108"/>
      <c r="H385" s="207"/>
      <c r="I385" s="108"/>
      <c r="J385" s="147"/>
      <c r="K385" s="108"/>
      <c r="L385" s="122"/>
      <c r="M385" s="108"/>
      <c r="N385" s="207"/>
      <c r="O385" s="160">
        <f t="shared" si="122"/>
        <v>7000</v>
      </c>
      <c r="P385" s="122">
        <f t="shared" si="123"/>
        <v>0</v>
      </c>
    </row>
    <row r="386" spans="1:16" ht="15.75" customHeight="1" x14ac:dyDescent="0.25">
      <c r="A386" s="157" t="s">
        <v>65</v>
      </c>
      <c r="B386" s="164" t="s">
        <v>291</v>
      </c>
      <c r="C386" s="108">
        <v>2600</v>
      </c>
      <c r="D386" s="147"/>
      <c r="E386" s="108"/>
      <c r="F386" s="122"/>
      <c r="G386" s="108"/>
      <c r="H386" s="207"/>
      <c r="I386" s="108"/>
      <c r="J386" s="147"/>
      <c r="K386" s="108"/>
      <c r="L386" s="122"/>
      <c r="M386" s="108"/>
      <c r="N386" s="207"/>
      <c r="O386" s="160">
        <f t="shared" si="122"/>
        <v>2600</v>
      </c>
      <c r="P386" s="122">
        <f t="shared" si="123"/>
        <v>0</v>
      </c>
    </row>
    <row r="387" spans="1:16" ht="15.75" customHeight="1" x14ac:dyDescent="0.25">
      <c r="A387" s="157"/>
      <c r="B387" s="170" t="s">
        <v>153</v>
      </c>
      <c r="C387" s="106">
        <f t="shared" ref="C387:O387" si="133">SUM(C388:C389)</f>
        <v>15500</v>
      </c>
      <c r="D387" s="178">
        <f t="shared" si="133"/>
        <v>0</v>
      </c>
      <c r="E387" s="106">
        <f t="shared" si="133"/>
        <v>0</v>
      </c>
      <c r="F387" s="131">
        <f t="shared" si="133"/>
        <v>0</v>
      </c>
      <c r="G387" s="106">
        <f t="shared" si="133"/>
        <v>0</v>
      </c>
      <c r="H387" s="224">
        <f t="shared" si="133"/>
        <v>0</v>
      </c>
      <c r="I387" s="106">
        <f t="shared" si="133"/>
        <v>0</v>
      </c>
      <c r="J387" s="178">
        <f t="shared" si="133"/>
        <v>0</v>
      </c>
      <c r="K387" s="106">
        <f t="shared" si="133"/>
        <v>0</v>
      </c>
      <c r="L387" s="131">
        <f t="shared" si="133"/>
        <v>0</v>
      </c>
      <c r="M387" s="106">
        <f t="shared" si="133"/>
        <v>0</v>
      </c>
      <c r="N387" s="224">
        <f t="shared" si="133"/>
        <v>0</v>
      </c>
      <c r="O387" s="106">
        <f t="shared" si="133"/>
        <v>15500</v>
      </c>
      <c r="P387" s="122">
        <f t="shared" si="123"/>
        <v>0</v>
      </c>
    </row>
    <row r="388" spans="1:16" ht="15.75" customHeight="1" x14ac:dyDescent="0.25">
      <c r="A388" s="157" t="s">
        <v>58</v>
      </c>
      <c r="B388" s="164" t="s">
        <v>291</v>
      </c>
      <c r="C388" s="108">
        <v>8500</v>
      </c>
      <c r="D388" s="147"/>
      <c r="E388" s="108"/>
      <c r="F388" s="122"/>
      <c r="G388" s="108"/>
      <c r="H388" s="207"/>
      <c r="I388" s="108"/>
      <c r="J388" s="147"/>
      <c r="K388" s="108"/>
      <c r="L388" s="122"/>
      <c r="M388" s="108"/>
      <c r="N388" s="207"/>
      <c r="O388" s="160">
        <f t="shared" si="122"/>
        <v>8500</v>
      </c>
      <c r="P388" s="122">
        <f t="shared" si="123"/>
        <v>0</v>
      </c>
    </row>
    <row r="389" spans="1:16" ht="15.75" customHeight="1" x14ac:dyDescent="0.25">
      <c r="A389" s="157" t="s">
        <v>65</v>
      </c>
      <c r="B389" s="164" t="s">
        <v>291</v>
      </c>
      <c r="C389" s="108">
        <v>7000</v>
      </c>
      <c r="D389" s="147"/>
      <c r="E389" s="108"/>
      <c r="F389" s="122"/>
      <c r="G389" s="108"/>
      <c r="H389" s="207"/>
      <c r="I389" s="108"/>
      <c r="J389" s="147"/>
      <c r="K389" s="108"/>
      <c r="L389" s="122"/>
      <c r="M389" s="108"/>
      <c r="N389" s="207"/>
      <c r="O389" s="160">
        <f t="shared" si="122"/>
        <v>7000</v>
      </c>
      <c r="P389" s="122">
        <f t="shared" si="123"/>
        <v>0</v>
      </c>
    </row>
    <row r="390" spans="1:16" ht="15.75" customHeight="1" x14ac:dyDescent="0.25">
      <c r="A390" s="157"/>
      <c r="B390" s="170" t="s">
        <v>154</v>
      </c>
      <c r="C390" s="106">
        <f t="shared" ref="C390:O390" si="134">SUM(C391:C392)</f>
        <v>19500</v>
      </c>
      <c r="D390" s="178">
        <f t="shared" si="134"/>
        <v>0</v>
      </c>
      <c r="E390" s="106">
        <f t="shared" si="134"/>
        <v>0</v>
      </c>
      <c r="F390" s="131">
        <f t="shared" si="134"/>
        <v>0</v>
      </c>
      <c r="G390" s="106">
        <f t="shared" si="134"/>
        <v>0</v>
      </c>
      <c r="H390" s="224">
        <f t="shared" si="134"/>
        <v>0</v>
      </c>
      <c r="I390" s="106">
        <f t="shared" si="134"/>
        <v>0</v>
      </c>
      <c r="J390" s="178">
        <f t="shared" si="134"/>
        <v>0</v>
      </c>
      <c r="K390" s="106">
        <f t="shared" si="134"/>
        <v>0</v>
      </c>
      <c r="L390" s="131">
        <f t="shared" si="134"/>
        <v>0</v>
      </c>
      <c r="M390" s="106">
        <f t="shared" si="134"/>
        <v>0</v>
      </c>
      <c r="N390" s="224">
        <f t="shared" si="134"/>
        <v>0</v>
      </c>
      <c r="O390" s="106">
        <f t="shared" si="134"/>
        <v>19500</v>
      </c>
      <c r="P390" s="122">
        <f t="shared" si="123"/>
        <v>0</v>
      </c>
    </row>
    <row r="391" spans="1:16" ht="15.75" customHeight="1" x14ac:dyDescent="0.25">
      <c r="A391" s="157" t="s">
        <v>58</v>
      </c>
      <c r="B391" s="164" t="s">
        <v>291</v>
      </c>
      <c r="C391" s="108">
        <v>17000</v>
      </c>
      <c r="D391" s="147"/>
      <c r="E391" s="108"/>
      <c r="F391" s="122"/>
      <c r="G391" s="108"/>
      <c r="H391" s="207"/>
      <c r="I391" s="108"/>
      <c r="J391" s="147"/>
      <c r="K391" s="108"/>
      <c r="L391" s="122"/>
      <c r="M391" s="108"/>
      <c r="N391" s="207"/>
      <c r="O391" s="160">
        <f t="shared" si="122"/>
        <v>17000</v>
      </c>
      <c r="P391" s="122">
        <f t="shared" si="123"/>
        <v>0</v>
      </c>
    </row>
    <row r="392" spans="1:16" ht="15.75" customHeight="1" x14ac:dyDescent="0.25">
      <c r="A392" s="157" t="s">
        <v>65</v>
      </c>
      <c r="B392" s="164" t="s">
        <v>291</v>
      </c>
      <c r="C392" s="108">
        <v>2500</v>
      </c>
      <c r="D392" s="147"/>
      <c r="E392" s="108"/>
      <c r="F392" s="122"/>
      <c r="G392" s="108"/>
      <c r="H392" s="207"/>
      <c r="I392" s="108"/>
      <c r="J392" s="147"/>
      <c r="K392" s="108"/>
      <c r="L392" s="122"/>
      <c r="M392" s="108"/>
      <c r="N392" s="207"/>
      <c r="O392" s="160">
        <f t="shared" si="122"/>
        <v>2500</v>
      </c>
      <c r="P392" s="122">
        <f t="shared" si="123"/>
        <v>0</v>
      </c>
    </row>
    <row r="393" spans="1:16" ht="15.75" customHeight="1" x14ac:dyDescent="0.25">
      <c r="A393" s="157"/>
      <c r="B393" s="170" t="s">
        <v>155</v>
      </c>
      <c r="C393" s="106">
        <f t="shared" ref="C393:O393" si="135">SUM(C394:C395)</f>
        <v>23100</v>
      </c>
      <c r="D393" s="178">
        <f t="shared" si="135"/>
        <v>0</v>
      </c>
      <c r="E393" s="106">
        <f t="shared" si="135"/>
        <v>0</v>
      </c>
      <c r="F393" s="131">
        <f t="shared" si="135"/>
        <v>0</v>
      </c>
      <c r="G393" s="106">
        <f t="shared" si="135"/>
        <v>0</v>
      </c>
      <c r="H393" s="224">
        <f t="shared" si="135"/>
        <v>0</v>
      </c>
      <c r="I393" s="106">
        <f t="shared" si="135"/>
        <v>0</v>
      </c>
      <c r="J393" s="178">
        <f t="shared" si="135"/>
        <v>0</v>
      </c>
      <c r="K393" s="106">
        <f t="shared" si="135"/>
        <v>0</v>
      </c>
      <c r="L393" s="131">
        <f t="shared" si="135"/>
        <v>0</v>
      </c>
      <c r="M393" s="106">
        <f t="shared" si="135"/>
        <v>0</v>
      </c>
      <c r="N393" s="224">
        <f t="shared" si="135"/>
        <v>0</v>
      </c>
      <c r="O393" s="106">
        <f t="shared" si="135"/>
        <v>23100</v>
      </c>
      <c r="P393" s="122">
        <f t="shared" si="123"/>
        <v>0</v>
      </c>
    </row>
    <row r="394" spans="1:16" ht="15.75" customHeight="1" x14ac:dyDescent="0.25">
      <c r="A394" s="157" t="s">
        <v>58</v>
      </c>
      <c r="B394" s="164" t="s">
        <v>291</v>
      </c>
      <c r="C394" s="108">
        <v>18700</v>
      </c>
      <c r="D394" s="147"/>
      <c r="E394" s="108"/>
      <c r="F394" s="122"/>
      <c r="G394" s="108"/>
      <c r="H394" s="207"/>
      <c r="I394" s="108"/>
      <c r="J394" s="147"/>
      <c r="K394" s="108"/>
      <c r="L394" s="122"/>
      <c r="M394" s="108"/>
      <c r="N394" s="207"/>
      <c r="O394" s="160">
        <f t="shared" si="122"/>
        <v>18700</v>
      </c>
      <c r="P394" s="122">
        <f t="shared" si="123"/>
        <v>0</v>
      </c>
    </row>
    <row r="395" spans="1:16" ht="15.75" customHeight="1" x14ac:dyDescent="0.25">
      <c r="A395" s="157" t="s">
        <v>65</v>
      </c>
      <c r="B395" s="164" t="s">
        <v>291</v>
      </c>
      <c r="C395" s="108">
        <v>4400</v>
      </c>
      <c r="D395" s="147"/>
      <c r="E395" s="108"/>
      <c r="F395" s="122"/>
      <c r="G395" s="108"/>
      <c r="H395" s="207"/>
      <c r="I395" s="108"/>
      <c r="J395" s="147"/>
      <c r="K395" s="108"/>
      <c r="L395" s="122"/>
      <c r="M395" s="108"/>
      <c r="N395" s="207"/>
      <c r="O395" s="160">
        <f t="shared" si="122"/>
        <v>4400</v>
      </c>
      <c r="P395" s="122">
        <f t="shared" si="123"/>
        <v>0</v>
      </c>
    </row>
    <row r="396" spans="1:16" ht="15.75" customHeight="1" x14ac:dyDescent="0.25">
      <c r="A396" s="157"/>
      <c r="B396" s="170" t="s">
        <v>156</v>
      </c>
      <c r="C396" s="106">
        <f t="shared" ref="C396:O396" si="136">SUM(C397:C398)</f>
        <v>14900</v>
      </c>
      <c r="D396" s="178">
        <f t="shared" si="136"/>
        <v>0</v>
      </c>
      <c r="E396" s="106">
        <f t="shared" si="136"/>
        <v>0</v>
      </c>
      <c r="F396" s="131">
        <f t="shared" si="136"/>
        <v>0</v>
      </c>
      <c r="G396" s="106">
        <f t="shared" si="136"/>
        <v>0</v>
      </c>
      <c r="H396" s="224">
        <f t="shared" si="136"/>
        <v>0</v>
      </c>
      <c r="I396" s="106">
        <f t="shared" si="136"/>
        <v>0</v>
      </c>
      <c r="J396" s="178">
        <f t="shared" si="136"/>
        <v>0</v>
      </c>
      <c r="K396" s="106">
        <f t="shared" si="136"/>
        <v>0</v>
      </c>
      <c r="L396" s="131">
        <f t="shared" si="136"/>
        <v>0</v>
      </c>
      <c r="M396" s="106">
        <f t="shared" si="136"/>
        <v>0</v>
      </c>
      <c r="N396" s="224">
        <f t="shared" si="136"/>
        <v>0</v>
      </c>
      <c r="O396" s="106">
        <f t="shared" si="136"/>
        <v>14900</v>
      </c>
      <c r="P396" s="122">
        <f t="shared" si="123"/>
        <v>0</v>
      </c>
    </row>
    <row r="397" spans="1:16" ht="15.75" customHeight="1" x14ac:dyDescent="0.25">
      <c r="A397" s="157" t="s">
        <v>58</v>
      </c>
      <c r="B397" s="164" t="s">
        <v>291</v>
      </c>
      <c r="C397" s="108">
        <v>12000</v>
      </c>
      <c r="D397" s="147"/>
      <c r="E397" s="108"/>
      <c r="F397" s="122"/>
      <c r="G397" s="108"/>
      <c r="H397" s="207"/>
      <c r="I397" s="108"/>
      <c r="J397" s="147"/>
      <c r="K397" s="108"/>
      <c r="L397" s="122"/>
      <c r="M397" s="108"/>
      <c r="N397" s="207"/>
      <c r="O397" s="160">
        <f t="shared" si="122"/>
        <v>12000</v>
      </c>
      <c r="P397" s="122">
        <f t="shared" si="123"/>
        <v>0</v>
      </c>
    </row>
    <row r="398" spans="1:16" ht="15.75" customHeight="1" x14ac:dyDescent="0.25">
      <c r="A398" s="157" t="s">
        <v>65</v>
      </c>
      <c r="B398" s="164" t="s">
        <v>291</v>
      </c>
      <c r="C398" s="108">
        <v>2900</v>
      </c>
      <c r="D398" s="147"/>
      <c r="E398" s="108"/>
      <c r="F398" s="122"/>
      <c r="G398" s="108"/>
      <c r="H398" s="207"/>
      <c r="I398" s="108"/>
      <c r="J398" s="147"/>
      <c r="K398" s="108"/>
      <c r="L398" s="122"/>
      <c r="M398" s="108"/>
      <c r="N398" s="207"/>
      <c r="O398" s="160">
        <f t="shared" si="122"/>
        <v>2900</v>
      </c>
      <c r="P398" s="122">
        <f t="shared" si="123"/>
        <v>0</v>
      </c>
    </row>
    <row r="399" spans="1:16" ht="15.75" customHeight="1" x14ac:dyDescent="0.25">
      <c r="A399" s="157"/>
      <c r="B399" s="170" t="s">
        <v>157</v>
      </c>
      <c r="C399" s="106">
        <f t="shared" ref="C399:O399" si="137">SUM(C400:C401)</f>
        <v>17700</v>
      </c>
      <c r="D399" s="178">
        <f t="shared" si="137"/>
        <v>0</v>
      </c>
      <c r="E399" s="106">
        <f t="shared" si="137"/>
        <v>0</v>
      </c>
      <c r="F399" s="131">
        <f t="shared" si="137"/>
        <v>0</v>
      </c>
      <c r="G399" s="106">
        <f t="shared" si="137"/>
        <v>0</v>
      </c>
      <c r="H399" s="224">
        <f t="shared" si="137"/>
        <v>0</v>
      </c>
      <c r="I399" s="106">
        <f t="shared" si="137"/>
        <v>0</v>
      </c>
      <c r="J399" s="178">
        <f t="shared" si="137"/>
        <v>0</v>
      </c>
      <c r="K399" s="106">
        <f t="shared" si="137"/>
        <v>0</v>
      </c>
      <c r="L399" s="131">
        <f t="shared" si="137"/>
        <v>0</v>
      </c>
      <c r="M399" s="106">
        <f t="shared" si="137"/>
        <v>0</v>
      </c>
      <c r="N399" s="224">
        <f t="shared" si="137"/>
        <v>0</v>
      </c>
      <c r="O399" s="106">
        <f t="shared" si="137"/>
        <v>17700</v>
      </c>
      <c r="P399" s="122">
        <f t="shared" si="123"/>
        <v>0</v>
      </c>
    </row>
    <row r="400" spans="1:16" ht="15.75" customHeight="1" x14ac:dyDescent="0.25">
      <c r="A400" s="157" t="s">
        <v>58</v>
      </c>
      <c r="B400" s="164" t="s">
        <v>291</v>
      </c>
      <c r="C400" s="108">
        <v>12600</v>
      </c>
      <c r="D400" s="147"/>
      <c r="E400" s="108"/>
      <c r="F400" s="122"/>
      <c r="G400" s="108"/>
      <c r="H400" s="207"/>
      <c r="I400" s="108"/>
      <c r="J400" s="147"/>
      <c r="K400" s="108"/>
      <c r="L400" s="122"/>
      <c r="M400" s="108"/>
      <c r="N400" s="207"/>
      <c r="O400" s="160">
        <f t="shared" si="122"/>
        <v>12600</v>
      </c>
      <c r="P400" s="122">
        <f t="shared" si="123"/>
        <v>0</v>
      </c>
    </row>
    <row r="401" spans="1:16" ht="15.75" customHeight="1" x14ac:dyDescent="0.25">
      <c r="A401" s="157" t="s">
        <v>65</v>
      </c>
      <c r="B401" s="164" t="s">
        <v>291</v>
      </c>
      <c r="C401" s="108">
        <v>5100</v>
      </c>
      <c r="D401" s="147"/>
      <c r="E401" s="108"/>
      <c r="F401" s="122"/>
      <c r="G401" s="108"/>
      <c r="H401" s="207"/>
      <c r="I401" s="108"/>
      <c r="J401" s="147"/>
      <c r="K401" s="108"/>
      <c r="L401" s="122"/>
      <c r="M401" s="108"/>
      <c r="N401" s="207"/>
      <c r="O401" s="160">
        <f t="shared" ref="O401:O409" si="138">SUM(C401,E401,G401,I401,K401,M401)</f>
        <v>5100</v>
      </c>
      <c r="P401" s="122">
        <f t="shared" si="123"/>
        <v>0</v>
      </c>
    </row>
    <row r="402" spans="1:16" ht="15.75" customHeight="1" x14ac:dyDescent="0.25">
      <c r="A402" s="157"/>
      <c r="B402" s="170" t="s">
        <v>158</v>
      </c>
      <c r="C402" s="106">
        <f t="shared" ref="C402:O402" si="139">SUM(C403:C404)</f>
        <v>16800</v>
      </c>
      <c r="D402" s="178">
        <f t="shared" si="139"/>
        <v>0</v>
      </c>
      <c r="E402" s="106">
        <f t="shared" si="139"/>
        <v>0</v>
      </c>
      <c r="F402" s="131">
        <f t="shared" si="139"/>
        <v>0</v>
      </c>
      <c r="G402" s="106">
        <f t="shared" si="139"/>
        <v>0</v>
      </c>
      <c r="H402" s="224">
        <f t="shared" si="139"/>
        <v>0</v>
      </c>
      <c r="I402" s="106">
        <f t="shared" si="139"/>
        <v>0</v>
      </c>
      <c r="J402" s="178">
        <f t="shared" si="139"/>
        <v>0</v>
      </c>
      <c r="K402" s="106">
        <f t="shared" si="139"/>
        <v>0</v>
      </c>
      <c r="L402" s="131">
        <f t="shared" si="139"/>
        <v>0</v>
      </c>
      <c r="M402" s="106">
        <f t="shared" si="139"/>
        <v>0</v>
      </c>
      <c r="N402" s="224">
        <f t="shared" si="139"/>
        <v>0</v>
      </c>
      <c r="O402" s="106">
        <f t="shared" si="139"/>
        <v>16800</v>
      </c>
      <c r="P402" s="122">
        <f t="shared" ref="P402:P409" si="140">SUM(D402,F402,H402,J402,L402,N402)</f>
        <v>0</v>
      </c>
    </row>
    <row r="403" spans="1:16" ht="15.75" customHeight="1" x14ac:dyDescent="0.25">
      <c r="A403" s="157" t="s">
        <v>58</v>
      </c>
      <c r="B403" s="164" t="s">
        <v>291</v>
      </c>
      <c r="C403" s="108">
        <v>12000</v>
      </c>
      <c r="D403" s="147"/>
      <c r="E403" s="108"/>
      <c r="F403" s="122"/>
      <c r="G403" s="108"/>
      <c r="H403" s="207"/>
      <c r="I403" s="108"/>
      <c r="J403" s="147"/>
      <c r="K403" s="108"/>
      <c r="L403" s="122"/>
      <c r="M403" s="108"/>
      <c r="N403" s="207"/>
      <c r="O403" s="160">
        <f t="shared" si="138"/>
        <v>12000</v>
      </c>
      <c r="P403" s="122">
        <f t="shared" si="140"/>
        <v>0</v>
      </c>
    </row>
    <row r="404" spans="1:16" ht="15.75" customHeight="1" x14ac:dyDescent="0.25">
      <c r="A404" s="157" t="s">
        <v>65</v>
      </c>
      <c r="B404" s="164" t="s">
        <v>291</v>
      </c>
      <c r="C404" s="108">
        <v>4800</v>
      </c>
      <c r="D404" s="147"/>
      <c r="E404" s="108"/>
      <c r="F404" s="122"/>
      <c r="G404" s="108"/>
      <c r="H404" s="207"/>
      <c r="I404" s="108"/>
      <c r="J404" s="147"/>
      <c r="K404" s="108"/>
      <c r="L404" s="122"/>
      <c r="M404" s="108"/>
      <c r="N404" s="207"/>
      <c r="O404" s="160">
        <f t="shared" si="138"/>
        <v>4800</v>
      </c>
      <c r="P404" s="122">
        <f t="shared" si="140"/>
        <v>0</v>
      </c>
    </row>
    <row r="405" spans="1:16" ht="15.75" customHeight="1" x14ac:dyDescent="0.25">
      <c r="A405" s="157"/>
      <c r="B405" s="170" t="s">
        <v>159</v>
      </c>
      <c r="C405" s="106">
        <f t="shared" ref="C405:O405" si="141">SUM(C406:C407)</f>
        <v>17600</v>
      </c>
      <c r="D405" s="178">
        <f t="shared" si="141"/>
        <v>0</v>
      </c>
      <c r="E405" s="106">
        <f t="shared" si="141"/>
        <v>0</v>
      </c>
      <c r="F405" s="131">
        <f t="shared" si="141"/>
        <v>0</v>
      </c>
      <c r="G405" s="106">
        <f t="shared" si="141"/>
        <v>0</v>
      </c>
      <c r="H405" s="224">
        <f t="shared" si="141"/>
        <v>0</v>
      </c>
      <c r="I405" s="106">
        <f t="shared" si="141"/>
        <v>0</v>
      </c>
      <c r="J405" s="178">
        <f t="shared" si="141"/>
        <v>0</v>
      </c>
      <c r="K405" s="106">
        <f t="shared" si="141"/>
        <v>0</v>
      </c>
      <c r="L405" s="131">
        <f t="shared" si="141"/>
        <v>0</v>
      </c>
      <c r="M405" s="106">
        <f t="shared" si="141"/>
        <v>0</v>
      </c>
      <c r="N405" s="224">
        <f t="shared" si="141"/>
        <v>0</v>
      </c>
      <c r="O405" s="106">
        <f t="shared" si="141"/>
        <v>17600</v>
      </c>
      <c r="P405" s="122">
        <f t="shared" si="140"/>
        <v>0</v>
      </c>
    </row>
    <row r="406" spans="1:16" ht="15.75" customHeight="1" x14ac:dyDescent="0.25">
      <c r="A406" s="157" t="s">
        <v>58</v>
      </c>
      <c r="B406" s="164" t="s">
        <v>291</v>
      </c>
      <c r="C406" s="108">
        <v>14000</v>
      </c>
      <c r="D406" s="147"/>
      <c r="E406" s="108"/>
      <c r="F406" s="122"/>
      <c r="G406" s="108"/>
      <c r="H406" s="207"/>
      <c r="I406" s="108"/>
      <c r="J406" s="147"/>
      <c r="K406" s="108"/>
      <c r="L406" s="122"/>
      <c r="M406" s="108"/>
      <c r="N406" s="207"/>
      <c r="O406" s="160">
        <f t="shared" si="138"/>
        <v>14000</v>
      </c>
      <c r="P406" s="122">
        <f t="shared" si="140"/>
        <v>0</v>
      </c>
    </row>
    <row r="407" spans="1:16" ht="15.75" customHeight="1" x14ac:dyDescent="0.25">
      <c r="A407" s="157" t="s">
        <v>65</v>
      </c>
      <c r="B407" s="164" t="s">
        <v>291</v>
      </c>
      <c r="C407" s="108">
        <v>3600</v>
      </c>
      <c r="D407" s="147"/>
      <c r="E407" s="108"/>
      <c r="F407" s="122"/>
      <c r="G407" s="108"/>
      <c r="H407" s="207"/>
      <c r="I407" s="108"/>
      <c r="J407" s="147"/>
      <c r="K407" s="108"/>
      <c r="L407" s="122"/>
      <c r="M407" s="108"/>
      <c r="N407" s="207"/>
      <c r="O407" s="160">
        <f t="shared" si="138"/>
        <v>3600</v>
      </c>
      <c r="P407" s="122">
        <f t="shared" si="140"/>
        <v>0</v>
      </c>
    </row>
    <row r="408" spans="1:16" ht="16.5" customHeight="1" x14ac:dyDescent="0.25">
      <c r="A408" s="191" t="s">
        <v>64</v>
      </c>
      <c r="B408" s="196" t="s">
        <v>530</v>
      </c>
      <c r="C408" s="106">
        <f>321200+5000</f>
        <v>326200</v>
      </c>
      <c r="D408" s="178">
        <v>303500</v>
      </c>
      <c r="E408" s="160"/>
      <c r="F408" s="131"/>
      <c r="G408" s="106"/>
      <c r="H408" s="208"/>
      <c r="I408" s="106"/>
      <c r="J408" s="178"/>
      <c r="K408" s="160"/>
      <c r="L408" s="131"/>
      <c r="M408" s="160"/>
      <c r="N408" s="263"/>
      <c r="O408" s="160">
        <f t="shared" si="138"/>
        <v>326200</v>
      </c>
      <c r="P408" s="131">
        <f t="shared" si="140"/>
        <v>303500</v>
      </c>
    </row>
    <row r="409" spans="1:16" ht="15" customHeight="1" thickBot="1" x14ac:dyDescent="0.3">
      <c r="A409" s="197" t="s">
        <v>59</v>
      </c>
      <c r="B409" s="196" t="s">
        <v>54</v>
      </c>
      <c r="C409" s="106">
        <v>38400</v>
      </c>
      <c r="D409" s="178">
        <v>29300</v>
      </c>
      <c r="E409" s="228">
        <v>837800</v>
      </c>
      <c r="F409" s="264">
        <v>776000</v>
      </c>
      <c r="G409" s="228"/>
      <c r="H409" s="265"/>
      <c r="I409" s="106"/>
      <c r="J409" s="178"/>
      <c r="K409" s="228"/>
      <c r="L409" s="264"/>
      <c r="M409" s="228"/>
      <c r="N409" s="266"/>
      <c r="O409" s="267">
        <f t="shared" si="138"/>
        <v>876200</v>
      </c>
      <c r="P409" s="131">
        <f t="shared" si="140"/>
        <v>805300</v>
      </c>
    </row>
    <row r="410" spans="1:16" ht="16.5" customHeight="1" thickBot="1" x14ac:dyDescent="0.3">
      <c r="A410" s="198"/>
      <c r="B410" s="199" t="s">
        <v>293</v>
      </c>
      <c r="C410" s="113">
        <f t="shared" ref="C410:P410" si="142">SUM(C342,C343,C376,C378,C381,C384,C387,C390,C393,C396,C399,C402,C405,C408,C409)</f>
        <v>5191500</v>
      </c>
      <c r="D410" s="257">
        <f t="shared" si="142"/>
        <v>3963400</v>
      </c>
      <c r="E410" s="113">
        <f t="shared" si="142"/>
        <v>1342805</v>
      </c>
      <c r="F410" s="257">
        <f t="shared" si="142"/>
        <v>1227194</v>
      </c>
      <c r="G410" s="113">
        <f t="shared" si="142"/>
        <v>0</v>
      </c>
      <c r="H410" s="257">
        <f t="shared" si="142"/>
        <v>0</v>
      </c>
      <c r="I410" s="113">
        <f t="shared" si="142"/>
        <v>45600</v>
      </c>
      <c r="J410" s="257">
        <f t="shared" si="142"/>
        <v>0</v>
      </c>
      <c r="K410" s="113">
        <f t="shared" si="142"/>
        <v>0</v>
      </c>
      <c r="L410" s="257">
        <f t="shared" si="142"/>
        <v>0</v>
      </c>
      <c r="M410" s="113">
        <f t="shared" si="142"/>
        <v>886608.69</v>
      </c>
      <c r="N410" s="257">
        <f t="shared" si="142"/>
        <v>0</v>
      </c>
      <c r="O410" s="113">
        <f t="shared" si="142"/>
        <v>7466513.6900000004</v>
      </c>
      <c r="P410" s="257">
        <f t="shared" si="142"/>
        <v>5190594</v>
      </c>
    </row>
    <row r="411" spans="1:16" ht="18.75" customHeight="1" thickBot="1" x14ac:dyDescent="0.3">
      <c r="A411" s="200"/>
      <c r="B411" s="201" t="s">
        <v>130</v>
      </c>
      <c r="C411" s="138">
        <f t="shared" ref="C411:P411" si="143">SUM(C32,C151,C194,C259,C269,C340,C410)</f>
        <v>26473000</v>
      </c>
      <c r="D411" s="231">
        <f t="shared" si="143"/>
        <v>14555848.23</v>
      </c>
      <c r="E411" s="138">
        <f t="shared" si="143"/>
        <v>14387228.1</v>
      </c>
      <c r="F411" s="231">
        <f t="shared" si="143"/>
        <v>11552370.77</v>
      </c>
      <c r="G411" s="138">
        <f t="shared" si="143"/>
        <v>831030.03999999992</v>
      </c>
      <c r="H411" s="119">
        <f t="shared" si="143"/>
        <v>105173.07</v>
      </c>
      <c r="I411" s="271">
        <f t="shared" si="143"/>
        <v>1281400</v>
      </c>
      <c r="J411" s="231">
        <f t="shared" si="143"/>
        <v>152500</v>
      </c>
      <c r="K411" s="138">
        <f t="shared" si="143"/>
        <v>3948215.83</v>
      </c>
      <c r="L411" s="119">
        <f t="shared" si="143"/>
        <v>0</v>
      </c>
      <c r="M411" s="271">
        <f t="shared" si="143"/>
        <v>3660928.49</v>
      </c>
      <c r="N411" s="119">
        <f t="shared" si="143"/>
        <v>2621.27</v>
      </c>
      <c r="O411" s="271">
        <f t="shared" si="143"/>
        <v>50581802.460000001</v>
      </c>
      <c r="P411" s="231">
        <f t="shared" si="143"/>
        <v>26368513.34</v>
      </c>
    </row>
    <row r="412" spans="1:16" ht="24" customHeight="1" thickBot="1" x14ac:dyDescent="0.3">
      <c r="A412" s="202" t="s">
        <v>58</v>
      </c>
      <c r="B412" s="203" t="s">
        <v>330</v>
      </c>
      <c r="C412" s="116">
        <f>SUM(C356)</f>
        <v>0</v>
      </c>
      <c r="D412" s="117"/>
      <c r="E412" s="116">
        <f>SUM(E356)</f>
        <v>0</v>
      </c>
      <c r="F412" s="117"/>
      <c r="G412" s="116">
        <f>SUM(G356)</f>
        <v>0</v>
      </c>
      <c r="H412" s="212"/>
      <c r="I412" s="116">
        <f>SUM(I356)</f>
        <v>0</v>
      </c>
      <c r="J412" s="117"/>
      <c r="K412" s="116">
        <f>SUM(K356)</f>
        <v>0</v>
      </c>
      <c r="L412" s="112"/>
      <c r="M412" s="116">
        <f>SUM(M356)</f>
        <v>866680.24</v>
      </c>
      <c r="N412" s="212"/>
      <c r="O412" s="141">
        <f>SUM(O356)</f>
        <v>866680.24</v>
      </c>
      <c r="P412" s="230"/>
    </row>
    <row r="413" spans="1:16" ht="17.25" customHeight="1" thickBot="1" x14ac:dyDescent="0.3">
      <c r="A413" s="331" t="s">
        <v>424</v>
      </c>
      <c r="B413" s="332"/>
      <c r="C413" s="118">
        <f t="shared" ref="C413:P413" si="144">SUM(C411-C412)</f>
        <v>26473000</v>
      </c>
      <c r="D413" s="119">
        <f t="shared" si="144"/>
        <v>14555848.23</v>
      </c>
      <c r="E413" s="118">
        <f t="shared" si="144"/>
        <v>14387228.1</v>
      </c>
      <c r="F413" s="119">
        <f t="shared" si="144"/>
        <v>11552370.77</v>
      </c>
      <c r="G413" s="118">
        <f t="shared" si="144"/>
        <v>831030.03999999992</v>
      </c>
      <c r="H413" s="119">
        <f t="shared" si="144"/>
        <v>105173.07</v>
      </c>
      <c r="I413" s="118">
        <f t="shared" si="144"/>
        <v>1281400</v>
      </c>
      <c r="J413" s="119">
        <f t="shared" si="144"/>
        <v>152500</v>
      </c>
      <c r="K413" s="118">
        <f t="shared" si="144"/>
        <v>3948215.83</v>
      </c>
      <c r="L413" s="119">
        <f t="shared" si="144"/>
        <v>0</v>
      </c>
      <c r="M413" s="118">
        <f t="shared" si="144"/>
        <v>2794248.25</v>
      </c>
      <c r="N413" s="119">
        <f t="shared" si="144"/>
        <v>2621.27</v>
      </c>
      <c r="O413" s="118">
        <f t="shared" si="144"/>
        <v>49715122.219999999</v>
      </c>
      <c r="P413" s="231">
        <f t="shared" si="144"/>
        <v>26368513.34</v>
      </c>
    </row>
    <row r="414" spans="1:16" ht="6" customHeight="1" x14ac:dyDescent="0.25"/>
    <row r="415" spans="1:16" x14ac:dyDescent="0.25">
      <c r="F415" s="62"/>
      <c r="G415" s="62"/>
      <c r="H415" s="62"/>
      <c r="I415" s="62"/>
    </row>
  </sheetData>
  <dataConsolidate/>
  <mergeCells count="33">
    <mergeCell ref="A5:P5"/>
    <mergeCell ref="A195:P195"/>
    <mergeCell ref="A33:P33"/>
    <mergeCell ref="A413:B413"/>
    <mergeCell ref="A270:P270"/>
    <mergeCell ref="I10:I11"/>
    <mergeCell ref="A341:P341"/>
    <mergeCell ref="A8:A11"/>
    <mergeCell ref="A13:P13"/>
    <mergeCell ref="I8:J9"/>
    <mergeCell ref="A260:P260"/>
    <mergeCell ref="A152:P152"/>
    <mergeCell ref="L10:L11"/>
    <mergeCell ref="J10:J11"/>
    <mergeCell ref="F10:F11"/>
    <mergeCell ref="K10:K11"/>
    <mergeCell ref="K8:L9"/>
    <mergeCell ref="A6:P6"/>
    <mergeCell ref="O8:P9"/>
    <mergeCell ref="O10:O11"/>
    <mergeCell ref="B8:B11"/>
    <mergeCell ref="C8:D9"/>
    <mergeCell ref="E8:F9"/>
    <mergeCell ref="D10:D11"/>
    <mergeCell ref="G8:H9"/>
    <mergeCell ref="G10:G11"/>
    <mergeCell ref="H10:H11"/>
    <mergeCell ref="C10:C11"/>
    <mergeCell ref="E10:E11"/>
    <mergeCell ref="P10:P11"/>
    <mergeCell ref="M8:N9"/>
    <mergeCell ref="N10:N11"/>
    <mergeCell ref="M10:M11"/>
  </mergeCells>
  <phoneticPr fontId="2" type="noConversion"/>
  <pageMargins left="0.25" right="0.25" top="0.75" bottom="0.75" header="0.3" footer="0.3"/>
  <pageSetup paperSize="9" scale="74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4</vt:i4>
      </vt:variant>
    </vt:vector>
  </HeadingPairs>
  <TitlesOfParts>
    <vt:vector size="10" baseType="lpstr">
      <vt:lpstr>pajamos-1</vt:lpstr>
      <vt:lpstr>sp.p.-2</vt:lpstr>
      <vt:lpstr>ml-3</vt:lpstr>
      <vt:lpstr>vald-4</vt:lpstr>
      <vt:lpstr>asign-5</vt:lpstr>
      <vt:lpstr>prog-6</vt:lpstr>
      <vt:lpstr>'asign-5'!Print_Titles</vt:lpstr>
      <vt:lpstr>'pajamos-1'!Print_Titles</vt:lpstr>
      <vt:lpstr>'prog-6'!Print_Titles</vt:lpstr>
      <vt:lpstr>'sp.p.-2'!Print_Titles</vt:lpstr>
    </vt:vector>
  </TitlesOfParts>
  <Company>Kelmės rajono savivaldybė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vidas</dc:creator>
  <cp:lastModifiedBy>Vida Sinkevičienė</cp:lastModifiedBy>
  <cp:lastPrinted>2023-01-23T11:18:01Z</cp:lastPrinted>
  <dcterms:created xsi:type="dcterms:W3CDTF">2007-02-07T06:18:33Z</dcterms:created>
  <dcterms:modified xsi:type="dcterms:W3CDTF">2023-01-23T11:26:59Z</dcterms:modified>
</cp:coreProperties>
</file>